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 firstSheet="1" activeTab="5"/>
  </bookViews>
  <sheets>
    <sheet name="ENERO 2025" sheetId="1" r:id="rId1"/>
    <sheet name="CUADRE ENE-OCTU 2024" sheetId="17" r:id="rId2"/>
    <sheet name="Hoja1" sheetId="9" r:id="rId3"/>
    <sheet name="FEBRERO 2025" sheetId="19" r:id="rId4"/>
    <sheet name="Marzo 2025" sheetId="20" r:id="rId5"/>
    <sheet name="ABRIL 2025" sheetId="21" r:id="rId6"/>
  </sheets>
  <externalReferences>
    <externalReference r:id="rId7"/>
  </externalReferences>
  <definedNames>
    <definedName name="_xlnm.Print_Area" localSheetId="5">'ABRIL 2025'!$A$5:$L$181</definedName>
    <definedName name="_xlnm.Print_Area" localSheetId="1">'CUADRE ENE-OCTU 2024'!$D$104:$E$139</definedName>
    <definedName name="_xlnm.Print_Area" localSheetId="0">'ENERO 2025'!$A$1:$H$185</definedName>
    <definedName name="_xlnm.Print_Area" localSheetId="3">'FEBRERO 2025'!$A$5:$L$183</definedName>
    <definedName name="_xlnm.Print_Area" localSheetId="4">'Marzo 2025'!$A$5:$L$189</definedName>
    <definedName name="_xlnm.Print_Titles" localSheetId="5">'ABRIL 2025'!$5:$11</definedName>
    <definedName name="_xlnm.Print_Titles" localSheetId="0">'ENERO 2025'!$5:$11</definedName>
    <definedName name="_xlnm.Print_Titles" localSheetId="3">'FEBRERO 2025'!$5:$11</definedName>
    <definedName name="_xlnm.Print_Titles" localSheetId="4">'Marzo 2025'!$5:$11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6" i="17"/>
  <c r="E117" s="1"/>
  <c r="F127" l="1"/>
  <c r="H128"/>
  <c r="E133"/>
  <c r="E134" s="1"/>
  <c r="E136" s="1"/>
  <c r="K83" i="21"/>
  <c r="L64"/>
  <c r="M64" s="1"/>
  <c r="F113" i="17"/>
  <c r="K112" i="21"/>
  <c r="K108"/>
  <c r="K103" s="1"/>
  <c r="K41"/>
  <c r="L41" s="1"/>
  <c r="M41" s="1"/>
  <c r="K95"/>
  <c r="K71"/>
  <c r="K101"/>
  <c r="K137"/>
  <c r="K19"/>
  <c r="K16"/>
  <c r="K134"/>
  <c r="K92"/>
  <c r="K87" s="1"/>
  <c r="K100"/>
  <c r="K55"/>
  <c r="L125"/>
  <c r="M125" s="1"/>
  <c r="L124"/>
  <c r="M124" s="1"/>
  <c r="L120"/>
  <c r="L119" s="1"/>
  <c r="L117"/>
  <c r="L116"/>
  <c r="L106"/>
  <c r="M106" s="1"/>
  <c r="L107"/>
  <c r="M107" s="1"/>
  <c r="L105"/>
  <c r="M105" s="1"/>
  <c r="L104"/>
  <c r="M104" s="1"/>
  <c r="L99"/>
  <c r="L91"/>
  <c r="M91" s="1"/>
  <c r="L89"/>
  <c r="M89" s="1"/>
  <c r="L88"/>
  <c r="M88" s="1"/>
  <c r="L80"/>
  <c r="L79"/>
  <c r="L78"/>
  <c r="L68"/>
  <c r="M68" s="1"/>
  <c r="L60"/>
  <c r="L57"/>
  <c r="M57" s="1"/>
  <c r="L56"/>
  <c r="M56" s="1"/>
  <c r="L51"/>
  <c r="M51" s="1"/>
  <c r="L50"/>
  <c r="M50" s="1"/>
  <c r="L49"/>
  <c r="M49" s="1"/>
  <c r="L29"/>
  <c r="M29" s="1"/>
  <c r="L21"/>
  <c r="M21" s="1"/>
  <c r="L28"/>
  <c r="L27"/>
  <c r="K75"/>
  <c r="K18"/>
  <c r="J153"/>
  <c r="K153"/>
  <c r="K149"/>
  <c r="K128"/>
  <c r="K122"/>
  <c r="K119"/>
  <c r="K77"/>
  <c r="K66"/>
  <c r="K59"/>
  <c r="K54" s="1"/>
  <c r="K48"/>
  <c r="K44"/>
  <c r="K26"/>
  <c r="K23"/>
  <c r="K15"/>
  <c r="M156"/>
  <c r="M155"/>
  <c r="L155"/>
  <c r="L154"/>
  <c r="M154" s="1"/>
  <c r="I153"/>
  <c r="H153"/>
  <c r="G153"/>
  <c r="H151"/>
  <c r="L151" s="1"/>
  <c r="M151" s="1"/>
  <c r="L150"/>
  <c r="M150" s="1"/>
  <c r="J149"/>
  <c r="J140" s="1"/>
  <c r="I149"/>
  <c r="G149"/>
  <c r="G142" s="1"/>
  <c r="M147"/>
  <c r="L146"/>
  <c r="M146" s="1"/>
  <c r="L145"/>
  <c r="M145" s="1"/>
  <c r="L144"/>
  <c r="M144" s="1"/>
  <c r="L143"/>
  <c r="M143" s="1"/>
  <c r="H142"/>
  <c r="L142" s="1"/>
  <c r="I141"/>
  <c r="G141"/>
  <c r="J137"/>
  <c r="I137"/>
  <c r="H137"/>
  <c r="J136"/>
  <c r="I136"/>
  <c r="I135"/>
  <c r="L135" s="1"/>
  <c r="M135" s="1"/>
  <c r="I134"/>
  <c r="L133"/>
  <c r="M133" s="1"/>
  <c r="G132"/>
  <c r="M130"/>
  <c r="M129" s="1"/>
  <c r="M128" s="1"/>
  <c r="H129"/>
  <c r="G129"/>
  <c r="G128" s="1"/>
  <c r="J128"/>
  <c r="I128"/>
  <c r="H128"/>
  <c r="M126"/>
  <c r="I123"/>
  <c r="I122" s="1"/>
  <c r="J122"/>
  <c r="H122"/>
  <c r="G122"/>
  <c r="J119"/>
  <c r="I119"/>
  <c r="H119"/>
  <c r="G116"/>
  <c r="G115" s="1"/>
  <c r="H115"/>
  <c r="J112"/>
  <c r="J110" s="1"/>
  <c r="I112"/>
  <c r="I110" s="1"/>
  <c r="H112"/>
  <c r="G110"/>
  <c r="J108"/>
  <c r="J103" s="1"/>
  <c r="I108"/>
  <c r="I103" s="1"/>
  <c r="H108"/>
  <c r="H103" s="1"/>
  <c r="G103"/>
  <c r="H101"/>
  <c r="J100"/>
  <c r="J98" s="1"/>
  <c r="I100"/>
  <c r="M99"/>
  <c r="G98"/>
  <c r="M96"/>
  <c r="J95"/>
  <c r="I95"/>
  <c r="H95"/>
  <c r="J92"/>
  <c r="J86" s="1"/>
  <c r="I92"/>
  <c r="H92"/>
  <c r="H90"/>
  <c r="L90" s="1"/>
  <c r="J87"/>
  <c r="G87"/>
  <c r="G86" s="1"/>
  <c r="I84"/>
  <c r="L84" s="1"/>
  <c r="J82"/>
  <c r="H82"/>
  <c r="G82"/>
  <c r="M80"/>
  <c r="M79"/>
  <c r="J77"/>
  <c r="I77"/>
  <c r="H77"/>
  <c r="H74" s="1"/>
  <c r="G77"/>
  <c r="J75"/>
  <c r="I75"/>
  <c r="G74"/>
  <c r="L72"/>
  <c r="M72" s="1"/>
  <c r="J71"/>
  <c r="J70" s="1"/>
  <c r="I71"/>
  <c r="I70" s="1"/>
  <c r="H71"/>
  <c r="G70"/>
  <c r="H67"/>
  <c r="L67" s="1"/>
  <c r="J66"/>
  <c r="I66"/>
  <c r="G66"/>
  <c r="J63"/>
  <c r="J62" s="1"/>
  <c r="I63"/>
  <c r="I62" s="1"/>
  <c r="H62"/>
  <c r="G62"/>
  <c r="M60"/>
  <c r="M59" s="1"/>
  <c r="J59"/>
  <c r="I59"/>
  <c r="H59"/>
  <c r="G59"/>
  <c r="G54" s="1"/>
  <c r="J55"/>
  <c r="I55"/>
  <c r="H55"/>
  <c r="J48"/>
  <c r="I48"/>
  <c r="H48"/>
  <c r="G48"/>
  <c r="H46"/>
  <c r="L46" s="1"/>
  <c r="M46" s="1"/>
  <c r="H45"/>
  <c r="L45" s="1"/>
  <c r="M45" s="1"/>
  <c r="J44"/>
  <c r="I44"/>
  <c r="G44"/>
  <c r="L40"/>
  <c r="M40" s="1"/>
  <c r="J39"/>
  <c r="I39"/>
  <c r="I33" s="1"/>
  <c r="I32" s="1"/>
  <c r="H39"/>
  <c r="H33" s="1"/>
  <c r="H32" s="1"/>
  <c r="G39"/>
  <c r="G33" s="1"/>
  <c r="G32" s="1"/>
  <c r="L37"/>
  <c r="M37" s="1"/>
  <c r="L36"/>
  <c r="M36" s="1"/>
  <c r="L35"/>
  <c r="M35" s="1"/>
  <c r="L34"/>
  <c r="M34" s="1"/>
  <c r="J33"/>
  <c r="J32" s="1"/>
  <c r="M28"/>
  <c r="M27"/>
  <c r="J26"/>
  <c r="I26"/>
  <c r="H26"/>
  <c r="G26"/>
  <c r="L23"/>
  <c r="J23"/>
  <c r="I23"/>
  <c r="H23"/>
  <c r="G23"/>
  <c r="L20"/>
  <c r="J19"/>
  <c r="J18" s="1"/>
  <c r="I19"/>
  <c r="H19"/>
  <c r="H18" s="1"/>
  <c r="G18"/>
  <c r="J16"/>
  <c r="J15" s="1"/>
  <c r="I16"/>
  <c r="I15" s="1"/>
  <c r="H16"/>
  <c r="G15"/>
  <c r="A5"/>
  <c r="H153" i="20"/>
  <c r="H151"/>
  <c r="H142"/>
  <c r="H141" s="1"/>
  <c r="H137"/>
  <c r="H132" s="1"/>
  <c r="H129"/>
  <c r="H128"/>
  <c r="H122"/>
  <c r="H119"/>
  <c r="H115"/>
  <c r="H112"/>
  <c r="H110" s="1"/>
  <c r="H108"/>
  <c r="H103" s="1"/>
  <c r="H101"/>
  <c r="H98" s="1"/>
  <c r="H95"/>
  <c r="H92"/>
  <c r="H90"/>
  <c r="H86"/>
  <c r="H82"/>
  <c r="H77"/>
  <c r="H74" s="1"/>
  <c r="H71"/>
  <c r="H70" s="1"/>
  <c r="H67"/>
  <c r="H66" s="1"/>
  <c r="H62"/>
  <c r="H59"/>
  <c r="H55"/>
  <c r="H48"/>
  <c r="H46"/>
  <c r="H45"/>
  <c r="H44" s="1"/>
  <c r="H39"/>
  <c r="H33" s="1"/>
  <c r="H32" s="1"/>
  <c r="H26"/>
  <c r="H23"/>
  <c r="H19"/>
  <c r="H18" s="1"/>
  <c r="H16"/>
  <c r="H15" s="1"/>
  <c r="H153" i="19"/>
  <c r="H151"/>
  <c r="H142"/>
  <c r="H141" s="1"/>
  <c r="H137"/>
  <c r="H132" s="1"/>
  <c r="H129"/>
  <c r="H128" s="1"/>
  <c r="H122"/>
  <c r="H119"/>
  <c r="H115"/>
  <c r="H112"/>
  <c r="H110" s="1"/>
  <c r="H108"/>
  <c r="H103"/>
  <c r="H101"/>
  <c r="H98" s="1"/>
  <c r="H94" s="1"/>
  <c r="H95"/>
  <c r="H92"/>
  <c r="H90"/>
  <c r="H87" s="1"/>
  <c r="H86"/>
  <c r="H82"/>
  <c r="H77"/>
  <c r="H74" s="1"/>
  <c r="H71"/>
  <c r="H70" s="1"/>
  <c r="H67"/>
  <c r="H66" s="1"/>
  <c r="H62"/>
  <c r="H59"/>
  <c r="H55"/>
  <c r="H54" s="1"/>
  <c r="H48"/>
  <c r="H46"/>
  <c r="H45"/>
  <c r="H44"/>
  <c r="H39"/>
  <c r="H33" s="1"/>
  <c r="H32" s="1"/>
  <c r="H26"/>
  <c r="H23"/>
  <c r="H19"/>
  <c r="H18" s="1"/>
  <c r="H16"/>
  <c r="H15" s="1"/>
  <c r="H137" i="1"/>
  <c r="H132" s="1"/>
  <c r="H153"/>
  <c r="H151"/>
  <c r="H142"/>
  <c r="H141" s="1"/>
  <c r="H140" s="1"/>
  <c r="H129"/>
  <c r="H128" s="1"/>
  <c r="H122"/>
  <c r="H119"/>
  <c r="H115"/>
  <c r="H112"/>
  <c r="H110" s="1"/>
  <c r="H108"/>
  <c r="H103" s="1"/>
  <c r="H101"/>
  <c r="H98" s="1"/>
  <c r="H95"/>
  <c r="H92"/>
  <c r="H90"/>
  <c r="H86" s="1"/>
  <c r="H87"/>
  <c r="H82"/>
  <c r="H77"/>
  <c r="H74"/>
  <c r="H71"/>
  <c r="H70" s="1"/>
  <c r="H67"/>
  <c r="H66"/>
  <c r="H62"/>
  <c r="H59"/>
  <c r="H55"/>
  <c r="H54"/>
  <c r="H48"/>
  <c r="H46"/>
  <c r="H45"/>
  <c r="H39"/>
  <c r="H33" s="1"/>
  <c r="H32" s="1"/>
  <c r="H26"/>
  <c r="H23"/>
  <c r="H19"/>
  <c r="H18"/>
  <c r="H16"/>
  <c r="H15" s="1"/>
  <c r="H14" s="1"/>
  <c r="E44" i="9"/>
  <c r="E40"/>
  <c r="F40"/>
  <c r="F65"/>
  <c r="I63"/>
  <c r="I61"/>
  <c r="I59"/>
  <c r="H60"/>
  <c r="G60"/>
  <c r="E58"/>
  <c r="F58" s="1"/>
  <c r="A5" i="20"/>
  <c r="E75" i="17"/>
  <c r="L92" i="21" l="1"/>
  <c r="L134"/>
  <c r="M134" s="1"/>
  <c r="L75"/>
  <c r="M75" s="1"/>
  <c r="I74"/>
  <c r="L55"/>
  <c r="M55" s="1"/>
  <c r="M54" s="1"/>
  <c r="L137"/>
  <c r="M137" s="1"/>
  <c r="K140"/>
  <c r="L101"/>
  <c r="M101" s="1"/>
  <c r="L16"/>
  <c r="M16" s="1"/>
  <c r="M15" s="1"/>
  <c r="M120"/>
  <c r="M119" s="1"/>
  <c r="L136"/>
  <c r="L71"/>
  <c r="H94" i="20"/>
  <c r="L63" i="21"/>
  <c r="M63" s="1"/>
  <c r="M62" s="1"/>
  <c r="H44" i="1"/>
  <c r="H140" i="19"/>
  <c r="H54" i="20"/>
  <c r="H53" s="1"/>
  <c r="H87"/>
  <c r="H87" i="21"/>
  <c r="G140"/>
  <c r="G114" s="1"/>
  <c r="L19"/>
  <c r="M19" s="1"/>
  <c r="M18" s="1"/>
  <c r="L123"/>
  <c r="M123" s="1"/>
  <c r="M122" s="1"/>
  <c r="H140" i="20"/>
  <c r="M84" i="21"/>
  <c r="G127" i="17"/>
  <c r="L112" i="21"/>
  <c r="L110" s="1"/>
  <c r="L108"/>
  <c r="M108" s="1"/>
  <c r="M103" s="1"/>
  <c r="K82"/>
  <c r="L83"/>
  <c r="M83" s="1"/>
  <c r="L95"/>
  <c r="M95" s="1"/>
  <c r="K70"/>
  <c r="K39"/>
  <c r="K33" s="1"/>
  <c r="K32" s="1"/>
  <c r="K98"/>
  <c r="K94" s="1"/>
  <c r="K132"/>
  <c r="L100"/>
  <c r="M100" s="1"/>
  <c r="K110"/>
  <c r="K62"/>
  <c r="M67"/>
  <c r="M66" s="1"/>
  <c r="K74"/>
  <c r="K86"/>
  <c r="L141"/>
  <c r="K14"/>
  <c r="L77"/>
  <c r="L74" s="1"/>
  <c r="I54"/>
  <c r="I82"/>
  <c r="H141"/>
  <c r="H140" s="1"/>
  <c r="L153"/>
  <c r="M136"/>
  <c r="J74"/>
  <c r="M92"/>
  <c r="G14"/>
  <c r="G13" s="1"/>
  <c r="M39"/>
  <c r="M33" s="1"/>
  <c r="M32" s="1"/>
  <c r="L48"/>
  <c r="J54"/>
  <c r="H54"/>
  <c r="G94"/>
  <c r="G53" s="1"/>
  <c r="M116"/>
  <c r="M115" s="1"/>
  <c r="J14"/>
  <c r="J13" s="1"/>
  <c r="H66"/>
  <c r="M71"/>
  <c r="M70" s="1"/>
  <c r="M78"/>
  <c r="M77" s="1"/>
  <c r="J94"/>
  <c r="L18"/>
  <c r="H44"/>
  <c r="M48"/>
  <c r="I140"/>
  <c r="I86"/>
  <c r="J132"/>
  <c r="J114" s="1"/>
  <c r="M142"/>
  <c r="M141" s="1"/>
  <c r="M153"/>
  <c r="L15"/>
  <c r="M26"/>
  <c r="M149"/>
  <c r="M44"/>
  <c r="M43" s="1"/>
  <c r="H15"/>
  <c r="H14" s="1"/>
  <c r="H13" s="1"/>
  <c r="I18"/>
  <c r="I14" s="1"/>
  <c r="I13" s="1"/>
  <c r="H86"/>
  <c r="L103"/>
  <c r="H110"/>
  <c r="L26"/>
  <c r="L39"/>
  <c r="L33" s="1"/>
  <c r="L32" s="1"/>
  <c r="L59"/>
  <c r="I87"/>
  <c r="I98"/>
  <c r="I94" s="1"/>
  <c r="I132"/>
  <c r="L149"/>
  <c r="M24"/>
  <c r="M23" s="1"/>
  <c r="L44"/>
  <c r="L66"/>
  <c r="H70"/>
  <c r="H98"/>
  <c r="H94" s="1"/>
  <c r="H132"/>
  <c r="H114" i="20"/>
  <c r="H14"/>
  <c r="H13" s="1"/>
  <c r="H53" i="19"/>
  <c r="H114"/>
  <c r="H14"/>
  <c r="H13" s="1"/>
  <c r="H13" i="1"/>
  <c r="H94"/>
  <c r="H53" s="1"/>
  <c r="H114"/>
  <c r="J100" i="20"/>
  <c r="E92" i="17"/>
  <c r="E79"/>
  <c r="E61"/>
  <c r="E76" s="1"/>
  <c r="J48" i="20"/>
  <c r="J59"/>
  <c r="J66"/>
  <c r="J77"/>
  <c r="J82"/>
  <c r="J98"/>
  <c r="J110"/>
  <c r="J112"/>
  <c r="J122"/>
  <c r="K114" i="21" l="1"/>
  <c r="L98"/>
  <c r="M82"/>
  <c r="L54"/>
  <c r="H158" i="20"/>
  <c r="H158" i="19"/>
  <c r="H163" s="1"/>
  <c r="K13" i="21"/>
  <c r="H114"/>
  <c r="L82"/>
  <c r="M98"/>
  <c r="M94" s="1"/>
  <c r="K53"/>
  <c r="M74"/>
  <c r="M112"/>
  <c r="M110" s="1"/>
  <c r="L140"/>
  <c r="M140"/>
  <c r="L70"/>
  <c r="L86"/>
  <c r="J53"/>
  <c r="J158" s="1"/>
  <c r="L122"/>
  <c r="I53"/>
  <c r="L132"/>
  <c r="I114"/>
  <c r="G158"/>
  <c r="M132"/>
  <c r="M14"/>
  <c r="M13" s="1"/>
  <c r="L94"/>
  <c r="H53"/>
  <c r="L62"/>
  <c r="M90"/>
  <c r="L87"/>
  <c r="L14"/>
  <c r="L13" s="1"/>
  <c r="H158" i="1"/>
  <c r="E93" i="17"/>
  <c r="E95" s="1"/>
  <c r="L126" i="20"/>
  <c r="L68"/>
  <c r="L64"/>
  <c r="J137"/>
  <c r="L50"/>
  <c r="K41"/>
  <c r="L41" s="1"/>
  <c r="K133"/>
  <c r="L133" s="1"/>
  <c r="K125"/>
  <c r="L125" s="1"/>
  <c r="K120"/>
  <c r="L120" s="1"/>
  <c r="K107"/>
  <c r="L107" s="1"/>
  <c r="K106"/>
  <c r="L106" s="1"/>
  <c r="K88"/>
  <c r="L88" s="1"/>
  <c r="K83"/>
  <c r="L83" s="1"/>
  <c r="K80"/>
  <c r="L80" s="1"/>
  <c r="K68"/>
  <c r="K67"/>
  <c r="L67" s="1"/>
  <c r="K60"/>
  <c r="L60" s="1"/>
  <c r="L59" s="1"/>
  <c r="K51"/>
  <c r="L51" s="1"/>
  <c r="K50"/>
  <c r="K49"/>
  <c r="L49" s="1"/>
  <c r="K29"/>
  <c r="L29" s="1"/>
  <c r="K21"/>
  <c r="L21" s="1"/>
  <c r="J95"/>
  <c r="I158" i="21" l="1"/>
  <c r="H158"/>
  <c r="K158"/>
  <c r="F117" i="17" s="1"/>
  <c r="L66" i="20"/>
  <c r="L114" i="21"/>
  <c r="M114"/>
  <c r="L53"/>
  <c r="M86"/>
  <c r="M53" s="1"/>
  <c r="M87"/>
  <c r="L48" i="20"/>
  <c r="H165" i="1"/>
  <c r="F19" i="17"/>
  <c r="J136" i="20"/>
  <c r="J132" s="1"/>
  <c r="J108"/>
  <c r="J103" s="1"/>
  <c r="J94" s="1"/>
  <c r="J63"/>
  <c r="J55"/>
  <c r="J54" s="1"/>
  <c r="G112" i="17" l="1"/>
  <c r="G117"/>
  <c r="L158" i="21"/>
  <c r="F136" i="17" s="1"/>
  <c r="M158" i="21"/>
  <c r="J92" i="20"/>
  <c r="J87" s="1"/>
  <c r="J16"/>
  <c r="M88" i="19"/>
  <c r="L60"/>
  <c r="J68"/>
  <c r="G125" i="17" l="1"/>
  <c r="G136"/>
  <c r="J19" i="20"/>
  <c r="L147"/>
  <c r="L130"/>
  <c r="K101"/>
  <c r="L101" s="1"/>
  <c r="J71"/>
  <c r="J70" s="1"/>
  <c r="K56"/>
  <c r="L56" s="1"/>
  <c r="G133" i="17" l="1"/>
  <c r="I124"/>
  <c r="K144" i="20"/>
  <c r="L144" s="1"/>
  <c r="K124"/>
  <c r="L124" s="1"/>
  <c r="K117"/>
  <c r="K116"/>
  <c r="K105"/>
  <c r="L105" s="1"/>
  <c r="K104"/>
  <c r="L104" s="1"/>
  <c r="K99"/>
  <c r="K90"/>
  <c r="L90" s="1"/>
  <c r="K91"/>
  <c r="L91" s="1"/>
  <c r="K89"/>
  <c r="L89" s="1"/>
  <c r="K79"/>
  <c r="L79" s="1"/>
  <c r="K78"/>
  <c r="L78" s="1"/>
  <c r="K72"/>
  <c r="L72" s="1"/>
  <c r="K57"/>
  <c r="L57" s="1"/>
  <c r="K46"/>
  <c r="L46" s="1"/>
  <c r="K45"/>
  <c r="L45" s="1"/>
  <c r="K40"/>
  <c r="L40" s="1"/>
  <c r="L39" s="1"/>
  <c r="K35"/>
  <c r="L35" s="1"/>
  <c r="K36"/>
  <c r="L36" s="1"/>
  <c r="K37"/>
  <c r="L37" s="1"/>
  <c r="K34"/>
  <c r="L34" s="1"/>
  <c r="K28"/>
  <c r="L28" s="1"/>
  <c r="K27"/>
  <c r="J75"/>
  <c r="G129" i="17" l="1"/>
  <c r="H131"/>
  <c r="K26" i="20"/>
  <c r="L24"/>
  <c r="L23" s="1"/>
  <c r="L27"/>
  <c r="L99"/>
  <c r="L77"/>
  <c r="L33"/>
  <c r="J149"/>
  <c r="J119"/>
  <c r="J140" l="1"/>
  <c r="I128"/>
  <c r="J128"/>
  <c r="J114" s="1"/>
  <c r="J86"/>
  <c r="J74"/>
  <c r="J62"/>
  <c r="J53" s="1"/>
  <c r="J44"/>
  <c r="J39"/>
  <c r="J33" s="1"/>
  <c r="J32" s="1"/>
  <c r="J26"/>
  <c r="J23"/>
  <c r="J18"/>
  <c r="J15"/>
  <c r="L156"/>
  <c r="L155"/>
  <c r="K155"/>
  <c r="K154"/>
  <c r="L154" s="1"/>
  <c r="I153"/>
  <c r="G153"/>
  <c r="K151"/>
  <c r="L151" s="1"/>
  <c r="K150"/>
  <c r="L150" s="1"/>
  <c r="I149"/>
  <c r="G149"/>
  <c r="G142" s="1"/>
  <c r="K146"/>
  <c r="L146" s="1"/>
  <c r="K145"/>
  <c r="L145" s="1"/>
  <c r="K143"/>
  <c r="L143" s="1"/>
  <c r="K142"/>
  <c r="L142" s="1"/>
  <c r="I141"/>
  <c r="G141"/>
  <c r="I137"/>
  <c r="K137" s="1"/>
  <c r="L137" s="1"/>
  <c r="I136"/>
  <c r="K136" s="1"/>
  <c r="L136" s="1"/>
  <c r="I135"/>
  <c r="K135" s="1"/>
  <c r="L135" s="1"/>
  <c r="I134"/>
  <c r="K134" s="1"/>
  <c r="L134" s="1"/>
  <c r="G132"/>
  <c r="L129"/>
  <c r="L128" s="1"/>
  <c r="G129"/>
  <c r="G128" s="1"/>
  <c r="I123"/>
  <c r="K123" s="1"/>
  <c r="L123" s="1"/>
  <c r="L122" s="1"/>
  <c r="G122"/>
  <c r="L119"/>
  <c r="K119"/>
  <c r="I119"/>
  <c r="G116"/>
  <c r="G115" s="1"/>
  <c r="I112"/>
  <c r="G110"/>
  <c r="I108"/>
  <c r="K108" s="1"/>
  <c r="L108" s="1"/>
  <c r="G103"/>
  <c r="I100"/>
  <c r="K100" s="1"/>
  <c r="G98"/>
  <c r="L96"/>
  <c r="I95"/>
  <c r="K95" s="1"/>
  <c r="L95" s="1"/>
  <c r="I92"/>
  <c r="K92" s="1"/>
  <c r="G87"/>
  <c r="G86"/>
  <c r="I84"/>
  <c r="G82"/>
  <c r="I77"/>
  <c r="G77"/>
  <c r="I75"/>
  <c r="K75" s="1"/>
  <c r="L75" s="1"/>
  <c r="L74" s="1"/>
  <c r="G74"/>
  <c r="I71"/>
  <c r="K71" s="1"/>
  <c r="L71" s="1"/>
  <c r="L70" s="1"/>
  <c r="K70"/>
  <c r="I70"/>
  <c r="G70"/>
  <c r="K66"/>
  <c r="I66"/>
  <c r="G66"/>
  <c r="I63"/>
  <c r="G62"/>
  <c r="K59"/>
  <c r="I59"/>
  <c r="G59"/>
  <c r="G54" s="1"/>
  <c r="I55"/>
  <c r="I48"/>
  <c r="G48"/>
  <c r="K44"/>
  <c r="I44"/>
  <c r="G44"/>
  <c r="I39"/>
  <c r="I33" s="1"/>
  <c r="I32" s="1"/>
  <c r="G39"/>
  <c r="G33" s="1"/>
  <c r="G32" s="1"/>
  <c r="L26"/>
  <c r="I26"/>
  <c r="G26"/>
  <c r="K23"/>
  <c r="I23"/>
  <c r="G23"/>
  <c r="K20"/>
  <c r="I19"/>
  <c r="G18"/>
  <c r="I16"/>
  <c r="K16" s="1"/>
  <c r="I15"/>
  <c r="G15"/>
  <c r="L92" l="1"/>
  <c r="L87" s="1"/>
  <c r="K87"/>
  <c r="I110"/>
  <c r="K112"/>
  <c r="L112" s="1"/>
  <c r="L16"/>
  <c r="L15" s="1"/>
  <c r="K15"/>
  <c r="K14" s="1"/>
  <c r="I82"/>
  <c r="K84"/>
  <c r="L84" s="1"/>
  <c r="L132"/>
  <c r="K18"/>
  <c r="K62"/>
  <c r="K63"/>
  <c r="L63" s="1"/>
  <c r="L62" s="1"/>
  <c r="L100"/>
  <c r="K98"/>
  <c r="I18"/>
  <c r="I14" s="1"/>
  <c r="I13" s="1"/>
  <c r="K19"/>
  <c r="L19" s="1"/>
  <c r="L18" s="1"/>
  <c r="I54"/>
  <c r="K55"/>
  <c r="L55" s="1"/>
  <c r="L54" s="1"/>
  <c r="I140"/>
  <c r="K39"/>
  <c r="K33" s="1"/>
  <c r="K32" s="1"/>
  <c r="K110"/>
  <c r="I122"/>
  <c r="I132"/>
  <c r="K141"/>
  <c r="K77"/>
  <c r="K74" s="1"/>
  <c r="L153"/>
  <c r="J14"/>
  <c r="J13" s="1"/>
  <c r="I103"/>
  <c r="K122"/>
  <c r="K153"/>
  <c r="G94"/>
  <c r="G53" s="1"/>
  <c r="L103"/>
  <c r="L141"/>
  <c r="L86"/>
  <c r="K103"/>
  <c r="K132"/>
  <c r="G140"/>
  <c r="G114" s="1"/>
  <c r="K48"/>
  <c r="K149"/>
  <c r="L149"/>
  <c r="G14"/>
  <c r="G13" s="1"/>
  <c r="K86"/>
  <c r="K82"/>
  <c r="L82"/>
  <c r="L32"/>
  <c r="I87"/>
  <c r="I98"/>
  <c r="I94" s="1"/>
  <c r="L110"/>
  <c r="I86"/>
  <c r="L116"/>
  <c r="L115" s="1"/>
  <c r="I62"/>
  <c r="I74"/>
  <c r="K54" l="1"/>
  <c r="G158"/>
  <c r="I114"/>
  <c r="L140"/>
  <c r="L114" s="1"/>
  <c r="K13"/>
  <c r="K94"/>
  <c r="K53" s="1"/>
  <c r="J158"/>
  <c r="F76" i="17" s="1"/>
  <c r="K140" i="20"/>
  <c r="K114" s="1"/>
  <c r="L44"/>
  <c r="L43" s="1"/>
  <c r="L14"/>
  <c r="L98"/>
  <c r="L94" s="1"/>
  <c r="L53" s="1"/>
  <c r="I53"/>
  <c r="I158" l="1"/>
  <c r="L13"/>
  <c r="L158" s="1"/>
  <c r="K158"/>
  <c r="F95" i="17" s="1"/>
  <c r="J125" i="19" l="1"/>
  <c r="J120"/>
  <c r="J119" s="1"/>
  <c r="J112"/>
  <c r="J107"/>
  <c r="J106"/>
  <c r="J101"/>
  <c r="J99"/>
  <c r="J83"/>
  <c r="J80"/>
  <c r="J67"/>
  <c r="J66" s="1"/>
  <c r="J60"/>
  <c r="E36" i="17"/>
  <c r="E37" s="1"/>
  <c r="E42"/>
  <c r="E51" s="1"/>
  <c r="E52" s="1"/>
  <c r="K125" i="19"/>
  <c r="I112"/>
  <c r="K83"/>
  <c r="J155"/>
  <c r="J154"/>
  <c r="J153" s="1"/>
  <c r="J151"/>
  <c r="J150"/>
  <c r="J146"/>
  <c r="J145"/>
  <c r="J144"/>
  <c r="J143"/>
  <c r="J133"/>
  <c r="J124"/>
  <c r="J117"/>
  <c r="J116"/>
  <c r="J105"/>
  <c r="J104"/>
  <c r="J91"/>
  <c r="J90"/>
  <c r="J89"/>
  <c r="J88"/>
  <c r="J79"/>
  <c r="J78"/>
  <c r="J72"/>
  <c r="J59"/>
  <c r="J57"/>
  <c r="J56"/>
  <c r="J51"/>
  <c r="J50"/>
  <c r="J49"/>
  <c r="J46"/>
  <c r="J45"/>
  <c r="J41"/>
  <c r="J40"/>
  <c r="J37"/>
  <c r="J36"/>
  <c r="J35"/>
  <c r="J34"/>
  <c r="J29"/>
  <c r="J28"/>
  <c r="J27"/>
  <c r="I26"/>
  <c r="J23"/>
  <c r="J21"/>
  <c r="J20"/>
  <c r="J149" l="1"/>
  <c r="J110"/>
  <c r="J77"/>
  <c r="J48"/>
  <c r="J44"/>
  <c r="J39"/>
  <c r="J33" s="1"/>
  <c r="J32" s="1"/>
  <c r="J26"/>
  <c r="I135" l="1"/>
  <c r="E18" i="17"/>
  <c r="E19" s="1"/>
  <c r="G20" s="1"/>
  <c r="I137" i="19"/>
  <c r="J137" s="1"/>
  <c r="I100"/>
  <c r="J100" s="1"/>
  <c r="J98" s="1"/>
  <c r="I95"/>
  <c r="J95" s="1"/>
  <c r="I84"/>
  <c r="J84" s="1"/>
  <c r="I19"/>
  <c r="J19" s="1"/>
  <c r="J18" s="1"/>
  <c r="I63"/>
  <c r="J63" s="1"/>
  <c r="J62" s="1"/>
  <c r="I55"/>
  <c r="J55" s="1"/>
  <c r="J54" s="1"/>
  <c r="K56"/>
  <c r="K51"/>
  <c r="K50"/>
  <c r="K49"/>
  <c r="K133"/>
  <c r="K126"/>
  <c r="K124"/>
  <c r="K120"/>
  <c r="K106"/>
  <c r="K105"/>
  <c r="K104"/>
  <c r="K57"/>
  <c r="K130"/>
  <c r="K144"/>
  <c r="K64"/>
  <c r="K60"/>
  <c r="K41"/>
  <c r="K40"/>
  <c r="K37"/>
  <c r="K36"/>
  <c r="K29"/>
  <c r="K24"/>
  <c r="K21"/>
  <c r="I108"/>
  <c r="J108" s="1"/>
  <c r="J103" s="1"/>
  <c r="I92"/>
  <c r="J92" s="1"/>
  <c r="J86" s="1"/>
  <c r="I71"/>
  <c r="J71" s="1"/>
  <c r="J70" s="1"/>
  <c r="I134"/>
  <c r="I136"/>
  <c r="I16"/>
  <c r="J16" s="1"/>
  <c r="J15" s="1"/>
  <c r="D18" i="9"/>
  <c r="D17"/>
  <c r="K63" i="19" l="1"/>
  <c r="K136"/>
  <c r="J136"/>
  <c r="J134"/>
  <c r="J132" s="1"/>
  <c r="I132"/>
  <c r="K137"/>
  <c r="I87"/>
  <c r="J87" s="1"/>
  <c r="K84"/>
  <c r="J82"/>
  <c r="J14"/>
  <c r="J13" s="1"/>
  <c r="J94"/>
  <c r="K135"/>
  <c r="J135"/>
  <c r="K134"/>
  <c r="D22" i="9" l="1"/>
  <c r="E10" l="1"/>
  <c r="D40"/>
  <c r="E41" s="1"/>
  <c r="K156" i="19"/>
  <c r="K155"/>
  <c r="K154"/>
  <c r="I153"/>
  <c r="G153"/>
  <c r="K151"/>
  <c r="K150"/>
  <c r="I149"/>
  <c r="G149"/>
  <c r="G142" s="1"/>
  <c r="K147"/>
  <c r="K146"/>
  <c r="K145"/>
  <c r="K143"/>
  <c r="I141"/>
  <c r="I140" s="1"/>
  <c r="G141"/>
  <c r="G132"/>
  <c r="K129"/>
  <c r="G129"/>
  <c r="I123"/>
  <c r="J123" s="1"/>
  <c r="J122" s="1"/>
  <c r="G122"/>
  <c r="K119"/>
  <c r="I119"/>
  <c r="G116"/>
  <c r="K116" s="1"/>
  <c r="K115" s="1"/>
  <c r="K112"/>
  <c r="K110" s="1"/>
  <c r="I110"/>
  <c r="G110"/>
  <c r="K108"/>
  <c r="K107"/>
  <c r="K103"/>
  <c r="I103"/>
  <c r="G103"/>
  <c r="K101"/>
  <c r="K100"/>
  <c r="K99"/>
  <c r="I98"/>
  <c r="G98"/>
  <c r="K96"/>
  <c r="K95"/>
  <c r="K153" l="1"/>
  <c r="K123"/>
  <c r="K122" s="1"/>
  <c r="K149"/>
  <c r="G115"/>
  <c r="I122"/>
  <c r="G140"/>
  <c r="K98"/>
  <c r="K94" s="1"/>
  <c r="K128"/>
  <c r="G128" s="1"/>
  <c r="K132"/>
  <c r="G114" l="1"/>
  <c r="I94"/>
  <c r="G94"/>
  <c r="K92"/>
  <c r="K91"/>
  <c r="K90"/>
  <c r="G86"/>
  <c r="K89"/>
  <c r="K88"/>
  <c r="G87"/>
  <c r="I86"/>
  <c r="I82"/>
  <c r="G82"/>
  <c r="K80"/>
  <c r="K79"/>
  <c r="K78"/>
  <c r="K77" s="1"/>
  <c r="I77"/>
  <c r="G77"/>
  <c r="I75"/>
  <c r="G74"/>
  <c r="K71"/>
  <c r="K70" s="1"/>
  <c r="I70"/>
  <c r="G70"/>
  <c r="K68"/>
  <c r="K67"/>
  <c r="I66"/>
  <c r="G66"/>
  <c r="I62"/>
  <c r="G62"/>
  <c r="K59"/>
  <c r="I59"/>
  <c r="G59"/>
  <c r="G54" s="1"/>
  <c r="I48"/>
  <c r="G48"/>
  <c r="K46"/>
  <c r="K45"/>
  <c r="I44"/>
  <c r="G44"/>
  <c r="K39"/>
  <c r="I39"/>
  <c r="G39"/>
  <c r="G33" s="1"/>
  <c r="K35"/>
  <c r="K33" s="1"/>
  <c r="K28"/>
  <c r="K27"/>
  <c r="G26"/>
  <c r="K23"/>
  <c r="I23"/>
  <c r="G23"/>
  <c r="K19"/>
  <c r="K75" l="1"/>
  <c r="J75"/>
  <c r="J74" s="1"/>
  <c r="J53" s="1"/>
  <c r="K66"/>
  <c r="I33"/>
  <c r="K44"/>
  <c r="K43" s="1"/>
  <c r="K26"/>
  <c r="K32"/>
  <c r="I74"/>
  <c r="K82"/>
  <c r="K87"/>
  <c r="K55"/>
  <c r="K54" s="1"/>
  <c r="K74"/>
  <c r="K48"/>
  <c r="I54"/>
  <c r="K62"/>
  <c r="K86"/>
  <c r="K18"/>
  <c r="I18"/>
  <c r="G18"/>
  <c r="K16"/>
  <c r="K15" s="1"/>
  <c r="I15"/>
  <c r="G15"/>
  <c r="A5"/>
  <c r="K53" i="9"/>
  <c r="J53"/>
  <c r="H49"/>
  <c r="F48"/>
  <c r="F47"/>
  <c r="I32" i="19" l="1"/>
  <c r="G32" s="1"/>
  <c r="G14"/>
  <c r="G13" s="1"/>
  <c r="I53"/>
  <c r="K53"/>
  <c r="K14"/>
  <c r="K13" s="1"/>
  <c r="I14"/>
  <c r="F46" i="9"/>
  <c r="G53" i="19" l="1"/>
  <c r="I13"/>
  <c r="C44" i="9"/>
  <c r="G40" l="1"/>
  <c r="G43" s="1"/>
  <c r="D42" l="1"/>
  <c r="I155" i="1"/>
  <c r="I154"/>
  <c r="I153" s="1"/>
  <c r="G153"/>
  <c r="I151"/>
  <c r="I150"/>
  <c r="G149"/>
  <c r="I147"/>
  <c r="I146"/>
  <c r="I145"/>
  <c r="I144"/>
  <c r="I143"/>
  <c r="G141"/>
  <c r="G140" s="1"/>
  <c r="I137"/>
  <c r="I149" l="1"/>
  <c r="I136"/>
  <c r="I135"/>
  <c r="I134"/>
  <c r="I133"/>
  <c r="G132"/>
  <c r="I130"/>
  <c r="I129" s="1"/>
  <c r="G129"/>
  <c r="I126"/>
  <c r="I125"/>
  <c r="I124"/>
  <c r="I122" s="1"/>
  <c r="I123"/>
  <c r="G122"/>
  <c r="I119"/>
  <c r="G116"/>
  <c r="G115"/>
  <c r="I116" l="1"/>
  <c r="I115" s="1"/>
  <c r="I128"/>
  <c r="G128" s="1"/>
  <c r="I132"/>
  <c r="I112"/>
  <c r="I110"/>
  <c r="G110"/>
  <c r="I108"/>
  <c r="I107"/>
  <c r="I106"/>
  <c r="I105"/>
  <c r="I104"/>
  <c r="G103"/>
  <c r="I101"/>
  <c r="I100"/>
  <c r="I99"/>
  <c r="G98"/>
  <c r="I96"/>
  <c r="I95"/>
  <c r="I98" l="1"/>
  <c r="I94" s="1"/>
  <c r="I103"/>
  <c r="G94"/>
  <c r="I92" s="1"/>
  <c r="I91"/>
  <c r="I90"/>
  <c r="I89"/>
  <c r="I88"/>
  <c r="I87" l="1"/>
  <c r="G87" l="1"/>
  <c r="I86"/>
  <c r="G86"/>
  <c r="I84"/>
  <c r="I82" s="1"/>
  <c r="G82"/>
  <c r="I80"/>
  <c r="I79"/>
  <c r="I78"/>
  <c r="G77"/>
  <c r="I75"/>
  <c r="G74"/>
  <c r="I71"/>
  <c r="I70" s="1"/>
  <c r="G70"/>
  <c r="I68"/>
  <c r="I67" s="1"/>
  <c r="I66" s="1"/>
  <c r="G66"/>
  <c r="I64"/>
  <c r="I63"/>
  <c r="G62"/>
  <c r="I60"/>
  <c r="I59" s="1"/>
  <c r="I54" s="1"/>
  <c r="G54" s="1"/>
  <c r="G53" s="1"/>
  <c r="G59"/>
  <c r="I57"/>
  <c r="I56"/>
  <c r="I55" s="1"/>
  <c r="I51"/>
  <c r="I50"/>
  <c r="I49"/>
  <c r="I48" s="1"/>
  <c r="G48"/>
  <c r="I47"/>
  <c r="I46"/>
  <c r="I45"/>
  <c r="I44" s="1"/>
  <c r="G44"/>
  <c r="I41"/>
  <c r="I40"/>
  <c r="I39" s="1"/>
  <c r="G39"/>
  <c r="I37"/>
  <c r="I36"/>
  <c r="I35"/>
  <c r="G33"/>
  <c r="G32"/>
  <c r="I29"/>
  <c r="I28"/>
  <c r="I27"/>
  <c r="G26"/>
  <c r="I24"/>
  <c r="I23"/>
  <c r="G23"/>
  <c r="I21"/>
  <c r="I18" s="1"/>
  <c r="I19"/>
  <c r="G18"/>
  <c r="G14" s="1"/>
  <c r="G13" s="1"/>
  <c r="I16"/>
  <c r="I15" s="1"/>
  <c r="G15"/>
  <c r="A5"/>
  <c r="I33" l="1"/>
  <c r="I32"/>
  <c r="I62"/>
  <c r="I26"/>
  <c r="I43"/>
  <c r="I77"/>
  <c r="I74" s="1"/>
  <c r="I53" s="1"/>
  <c r="I14"/>
  <c r="I13" s="1"/>
  <c r="I114" i="19" l="1"/>
  <c r="I158" s="1"/>
  <c r="J142"/>
  <c r="J141" s="1"/>
  <c r="J140" s="1"/>
  <c r="J114" s="1"/>
  <c r="J158" s="1"/>
  <c r="F54" i="17" s="1"/>
  <c r="K142" i="19"/>
  <c r="K141" s="1"/>
  <c r="K140" s="1"/>
  <c r="K114" s="1"/>
  <c r="K158" s="1"/>
  <c r="G158"/>
  <c r="F37" i="17" l="1"/>
  <c r="G37" s="1"/>
  <c r="E54"/>
  <c r="G54" s="1"/>
  <c r="G142" i="1" l="1"/>
  <c r="I142"/>
  <c r="I141"/>
  <c r="I140"/>
  <c r="I114"/>
  <c r="I158"/>
  <c r="G114"/>
  <c r="G158"/>
</calcChain>
</file>

<file path=xl/sharedStrings.xml><?xml version="1.0" encoding="utf-8"?>
<sst xmlns="http://schemas.openxmlformats.org/spreadsheetml/2006/main" count="692" uniqueCount="197">
  <si>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</si>
  <si>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</si>
  <si>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</si>
  <si>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</si>
  <si>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</si>
  <si>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</si>
  <si>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</si>
  <si>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</si>
  <si>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</si>
  <si>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</si>
  <si>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</si>
  <si>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</si>
  <si>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</si>
  <si>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</si>
  <si>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</si>
  <si>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</si>
  <si>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</si>
  <si>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</si>
  <si>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</si>
  <si>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</si>
  <si>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</si>
  <si>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</si>
  <si>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</si>
  <si>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</si>
  <si>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</si>
  <si>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</si>
  <si>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</si>
  <si>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</si>
  <si>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</si>
  <si>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</si>
  <si>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</si>
  <si>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</si>
  <si>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</si>
  <si>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</si>
  <si>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</si>
  <si>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</si>
  <si>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</si>
  <si>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</si>
  <si>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</si>
  <si>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</si>
  <si>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</si>
  <si>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</si>
  <si>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</si>
  <si>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</si>
  <si>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</si>
  <si>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</si>
  <si>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</si>
  <si>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</si>
  <si>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</si>
  <si>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</si>
  <si>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</si>
  <si>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</si>
  <si>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</si>
  <si>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</si>
  <si>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</si>
  <si>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</si>
  <si>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</si>
  <si>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</si>
  <si>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</si>
  <si>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</si>
  <si>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</si>
  <si>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</si>
  <si>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</si>
  <si>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</si>
  <si>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</si>
  <si>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</si>
  <si>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</si>
  <si>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</si>
  <si>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</si>
  <si>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</si>
  <si>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</si>
  <si>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</si>
  <si>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</si>
  <si>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</si>
  <si>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</si>
  <si>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</si>
  <si>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</si>
  <si>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</si>
  <si>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</si>
  <si>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</si>
  <si>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</si>
  <si>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</si>
  <si>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</si>
  <si>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</si>
  <si>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</si>
  <si>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</si>
  <si>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</si>
  <si>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</si>
  <si>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</si>
  <si>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</si>
  <si>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</si>
  <si>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</si>
  <si>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</si>
  <si>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</si>
  <si>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</si>
  <si>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</si>
  <si>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</si>
  <si>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</si>
  <si>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</si>
  <si>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</si>
  <si>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</si>
  <si>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</si>
  <si>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</si>
  <si>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</si>
  <si>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</si>
  <si>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</si>
  <si>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</si>
  <si>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</si>
  <si>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</si>
  <si>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</si>
  <si>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</si>
  <si>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</si>
  <si>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</si>
  <si>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</si>
  <si>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</si>
  <si>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</si>
  <si>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</si>
  <si>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</si>
  <si>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</si>
  <si>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</si>
  <si>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</si>
  <si>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</si>
  <si>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Lic. Jóse Ventura</t>
  </si>
  <si>
    <t>Director Administrativo Financiero</t>
  </si>
  <si>
    <t>Rafael Toribio</t>
  </si>
  <si>
    <t>Presidente CES</t>
  </si>
  <si>
    <t>AMORTIZACION Y DEPRECIACION</t>
  </si>
  <si>
    <t>CONSUMO DE UTILES DE ESCRITORIOS OFICINA INFORMATICA Y ENSEÑANZA</t>
  </si>
  <si>
    <t>CONSUMO DE UTILES DE COCINA Y COMEDOR</t>
  </si>
  <si>
    <t>SUBTOTAL</t>
  </si>
  <si>
    <t>TOTAL EJECUTADO PRESUPUESTAL DEL MES</t>
  </si>
  <si>
    <t>TOTAL</t>
  </si>
  <si>
    <t>CASA</t>
  </si>
  <si>
    <t>CARRO</t>
  </si>
  <si>
    <t>INTERNET</t>
  </si>
  <si>
    <t>GRACE</t>
  </si>
  <si>
    <t>CAMIL</t>
  </si>
  <si>
    <t>ALTAGRACIA</t>
  </si>
  <si>
    <t>MANTENIMIENTO</t>
  </si>
  <si>
    <t>COLEGIO</t>
  </si>
  <si>
    <t>MONTO TOTAL</t>
  </si>
  <si>
    <t xml:space="preserve"> Ejecucion Presupuestal al 31 de Enero 2025</t>
  </si>
  <si>
    <t>Ejecut. Enero,  2025</t>
  </si>
  <si>
    <t>Presupuesto Ene-Dic.2025</t>
  </si>
  <si>
    <t xml:space="preserve">TARJETAS </t>
  </si>
  <si>
    <t>MES ENERO 2025</t>
  </si>
  <si>
    <t>CONCILIACION DE SALDOS DE CONTABILIDAD CON EJECUCION PRESUPUESTAL ENERO 2025</t>
  </si>
  <si>
    <t>MENOS REGISTRO QUE NO AFECTAN LA EJECUCIÓN</t>
  </si>
  <si>
    <t>Otros gastos Institucionales</t>
  </si>
  <si>
    <t>Compensación por Desempeño</t>
  </si>
  <si>
    <t>Prestaciones y Bonificaciones</t>
  </si>
  <si>
    <t>Bonos Escolar</t>
  </si>
  <si>
    <t>Vacaciones</t>
  </si>
  <si>
    <t xml:space="preserve">SERVICIOS TECNICOS PROFESIONALES </t>
  </si>
  <si>
    <t>REGISTRO CONTABLES ENERO 2025</t>
  </si>
  <si>
    <t>Ejecut. Febrero,  2025</t>
  </si>
  <si>
    <t>CONCILIACION DE SALDOS DE CONTABILIDAD CON EJECUCION PRESUPUESTAL FEBRERO 2025</t>
  </si>
  <si>
    <t>REGISTRO CONTABLES FEBRERO 2025</t>
  </si>
  <si>
    <t>SEGUROS DE PERSONAS</t>
  </si>
  <si>
    <t>SEGUROS DE BIENES MUEBLES</t>
  </si>
  <si>
    <t>PAPEL DE ESCRITORIO</t>
  </si>
  <si>
    <t xml:space="preserve"> CONSUMO PAPEL DE ESCRITORIO INVENTARIO</t>
  </si>
  <si>
    <t>AMORTIZACION Y DEPRECIACION ACUMULADA</t>
  </si>
  <si>
    <t xml:space="preserve"> AMORTIZACION DE POLIZA SEGUROS DE VEHICULOS</t>
  </si>
  <si>
    <t xml:space="preserve"> AMORTIZACION DE POLIZA SEGUROS DE MUEBLES</t>
  </si>
  <si>
    <t>OTROS SERVICIOS TECNICOS Y PROFESIONALES</t>
  </si>
  <si>
    <t xml:space="preserve"> CONSUMO DE UTILES DE COCINA Y COMEDOR</t>
  </si>
  <si>
    <t xml:space="preserve"> CONSUMO DE UTILES DE ESCRITORIOS OFICINA INFORMATICA Y ENSEÑANZA-ALMANCEN</t>
  </si>
  <si>
    <t>PRODUCTOS Y UTILES VARIOS N.I.P</t>
  </si>
  <si>
    <t>TOTAL EJECUTADO PRESUPUESTAL ACUMULADA</t>
  </si>
  <si>
    <t>MAS COMPRAS DE ACTIVO FIJOS</t>
  </si>
  <si>
    <t>TOTAL EJECUTADO EN LO PRESUPUESTADO</t>
  </si>
  <si>
    <t>DESCUENTO EN FACTURA</t>
  </si>
  <si>
    <t xml:space="preserve">ACTIVOS </t>
  </si>
  <si>
    <t xml:space="preserve">DESCUENTO EN FACTURA </t>
  </si>
  <si>
    <t xml:space="preserve"> TOTAL EJECUCION CONTABLE ACUMULADA DE FEBRERO 2025</t>
  </si>
  <si>
    <t>.</t>
  </si>
  <si>
    <t xml:space="preserve"> Ejecucion Presupuestal al 28 de Febrero  2025</t>
  </si>
  <si>
    <t xml:space="preserve"> Ejecucion Presupuestal al 31 de Marzo  2025</t>
  </si>
  <si>
    <t>Ejecut. Marzo,  2025</t>
  </si>
  <si>
    <t>CONCILIACION DE SALDOS DE CONTABILIDAD CON EJECUCION PRESUPUESTAL MARZO 2025</t>
  </si>
  <si>
    <t>REGISTRO CONTABLES MARZO 2025</t>
  </si>
  <si>
    <t xml:space="preserve"> TOTAL EJECUCION CONTABLE ACUMULADA DE MARZO 2025</t>
  </si>
  <si>
    <t>PRODUCTOS Y UYILES VARIOS</t>
  </si>
  <si>
    <t xml:space="preserve">SERVICIO DE ALIMENTACION </t>
  </si>
  <si>
    <t xml:space="preserve">  HOSTING, ZOOM,ANTI VIRUS Y ANTI VIRUS ANUAL </t>
  </si>
  <si>
    <t>CONSUMO DE UTILES DE ESCRITORIOS OFICINA INFORMATICA Y ENSEÑANZA-ALMANCEN</t>
  </si>
  <si>
    <t>Jóse Ventura</t>
  </si>
  <si>
    <t xml:space="preserve"> AL MES DE ENERO 2025 DEBIDO A QUE EL SIAB NO ACTUALIZO LOS ACTIVOS</t>
  </si>
  <si>
    <t xml:space="preserve">NOTA: ASIENTO DE REVERSION CORRIENDO LA ENTRADA #ED34012025/6282 CORRESPINDIENTE </t>
  </si>
  <si>
    <t>Ejecut. Abril,  2025</t>
  </si>
  <si>
    <t>CONCILIACION DE SALDOS DE CONTABILIDAD CON EJECUCION PRESUPUESTAL ABRIL 2025</t>
  </si>
  <si>
    <t>REGISTRO CONTABLES ABRIL 2025</t>
  </si>
  <si>
    <t xml:space="preserve"> TOTAL EJECUCION CONTABLE ACUMULADA DE ABRIL 2025</t>
  </si>
  <si>
    <t>SERVICIOS DE INFORMATICA</t>
  </si>
  <si>
    <t>DDD</t>
  </si>
  <si>
    <t xml:space="preserve"> Ejecucion Presupuestal al 30 de Abril 2025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</si>
</sst>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2"/>
      <color theme="1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sz val="11"/>
      <color rgb="FFFF0000"/>
      <name val="Cambria"/>
      <family val="1"/>
    </font>
    <font>
      <sz val="11"/>
      <color rgb="FF00B0F0"/>
      <name val="Cambria"/>
      <family val="1"/>
    </font>
    <font>
      <b/>
      <sz val="11"/>
      <color theme="1"/>
      <name val="Cambria"/>
      <family val="1"/>
    </font>
    <font>
      <b/>
      <sz val="13"/>
      <color theme="1"/>
      <name val="Cambria"/>
      <family val="1"/>
    </font>
    <font>
      <sz val="11"/>
      <name val="Calibri Light"/>
      <family val="1"/>
      <scheme val="major"/>
    </font>
    <font>
      <b/>
      <sz val="11"/>
      <name val="Cambria"/>
      <family val="1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6">
    <xf numFmtId="0" fontId="0" fillId="0" borderId="0" xfId="0"/>
    <xf numFmtId="0" fontId="3" fillId="0" borderId="0" xfId="0" applyFont="1"/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64" fontId="5" fillId="2" borderId="8" xfId="1" applyNumberFormat="1" applyFont="1" applyFill="1" applyBorder="1"/>
    <xf numFmtId="164" fontId="5" fillId="2" borderId="10" xfId="1" applyNumberFormat="1" applyFont="1" applyFill="1" applyBorder="1"/>
    <xf numFmtId="164" fontId="4" fillId="2" borderId="8" xfId="1" applyNumberFormat="1" applyFont="1" applyFill="1" applyBorder="1"/>
    <xf numFmtId="43" fontId="0" fillId="0" borderId="0" xfId="0" applyNumberFormat="1"/>
    <xf numFmtId="164" fontId="7" fillId="2" borderId="8" xfId="1" applyNumberFormat="1" applyFont="1" applyFill="1" applyBorder="1"/>
    <xf numFmtId="164" fontId="7" fillId="2" borderId="10" xfId="1" applyNumberFormat="1" applyFont="1" applyFill="1" applyBorder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8" fillId="0" borderId="0" xfId="0" applyFont="1"/>
    <xf numFmtId="0" fontId="9" fillId="0" borderId="0" xfId="0" applyFont="1"/>
    <xf numFmtId="43" fontId="0" fillId="2" borderId="0" xfId="1" applyFont="1" applyFill="1"/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10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1" fillId="0" borderId="0" xfId="0" applyFont="1"/>
    <xf numFmtId="1" fontId="11" fillId="2" borderId="0" xfId="0" applyNumberFormat="1" applyFont="1" applyFill="1"/>
    <xf numFmtId="0" fontId="13" fillId="0" borderId="0" xfId="0" applyFont="1"/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4" fillId="0" borderId="0" xfId="0" applyFont="1" applyAlignment="1">
      <alignment horizontal="center"/>
    </xf>
    <xf numFmtId="1" fontId="14" fillId="2" borderId="0" xfId="0" applyNumberFormat="1" applyFont="1" applyFill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4" xfId="0" applyFont="1" applyBorder="1"/>
    <xf numFmtId="1" fontId="14" fillId="2" borderId="4" xfId="0" applyNumberFormat="1" applyFont="1" applyFill="1" applyBorder="1"/>
    <xf numFmtId="0" fontId="14" fillId="0" borderId="5" xfId="0" applyFont="1" applyBorder="1" applyAlignment="1">
      <alignment horizontal="left"/>
    </xf>
    <xf numFmtId="0" fontId="14" fillId="0" borderId="5" xfId="0" applyFont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5" fillId="0" borderId="5" xfId="0" applyFont="1" applyBorder="1"/>
    <xf numFmtId="0" fontId="14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1" fontId="14" fillId="2" borderId="5" xfId="0" applyNumberFormat="1" applyFont="1" applyFill="1" applyBorder="1" applyAlignment="1">
      <alignment horizontal="center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9" xfId="0" applyFont="1" applyBorder="1"/>
    <xf numFmtId="0" fontId="14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 wrapText="1"/>
    </xf>
    <xf numFmtId="41" fontId="14" fillId="0" borderId="9" xfId="0" applyNumberFormat="1" applyFont="1" applyBorder="1" applyAlignment="1">
      <alignment horizontal="center"/>
    </xf>
    <xf numFmtId="1" fontId="14" fillId="2" borderId="9" xfId="0" applyNumberFormat="1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left" wrapText="1"/>
    </xf>
    <xf numFmtId="41" fontId="14" fillId="0" borderId="6" xfId="0" applyNumberFormat="1" applyFont="1" applyBorder="1"/>
    <xf numFmtId="164" fontId="14" fillId="2" borderId="7" xfId="1" applyNumberFormat="1" applyFont="1" applyFill="1" applyBorder="1"/>
    <xf numFmtId="41" fontId="16" fillId="0" borderId="5" xfId="0" applyNumberFormat="1" applyFont="1" applyBorder="1"/>
    <xf numFmtId="164" fontId="16" fillId="2" borderId="5" xfId="1" applyNumberFormat="1" applyFont="1" applyFill="1" applyBorder="1"/>
    <xf numFmtId="0" fontId="13" fillId="0" borderId="7" xfId="0" applyFont="1" applyBorder="1" applyAlignment="1">
      <alignment wrapText="1"/>
    </xf>
    <xf numFmtId="41" fontId="14" fillId="0" borderId="9" xfId="0" applyNumberFormat="1" applyFont="1" applyBorder="1"/>
    <xf numFmtId="164" fontId="14" fillId="2" borderId="9" xfId="1" applyNumberFormat="1" applyFont="1" applyFill="1" applyBorder="1"/>
    <xf numFmtId="41" fontId="13" fillId="0" borderId="7" xfId="0" applyNumberFormat="1" applyFont="1" applyBorder="1"/>
    <xf numFmtId="164" fontId="13" fillId="2" borderId="7" xfId="1" applyNumberFormat="1" applyFont="1" applyFill="1" applyBorder="1"/>
    <xf numFmtId="0" fontId="14" fillId="0" borderId="7" xfId="0" applyFont="1" applyBorder="1" applyAlignment="1">
      <alignment wrapText="1"/>
    </xf>
    <xf numFmtId="164" fontId="14" fillId="2" borderId="6" xfId="1" applyNumberFormat="1" applyFont="1" applyFill="1" applyBorder="1"/>
    <xf numFmtId="0" fontId="16" fillId="0" borderId="7" xfId="0" applyFont="1" applyBorder="1" applyAlignment="1">
      <alignment wrapText="1"/>
    </xf>
    <xf numFmtId="41" fontId="16" fillId="0" borderId="9" xfId="0" applyNumberFormat="1" applyFont="1" applyBorder="1"/>
    <xf numFmtId="41" fontId="16" fillId="0" borderId="7" xfId="0" applyNumberFormat="1" applyFont="1" applyBorder="1"/>
    <xf numFmtId="164" fontId="16" fillId="2" borderId="9" xfId="1" applyNumberFormat="1" applyFont="1" applyFill="1" applyBorder="1"/>
    <xf numFmtId="164" fontId="16" fillId="2" borderId="7" xfId="1" applyNumberFormat="1" applyFont="1" applyFill="1" applyBorder="1"/>
    <xf numFmtId="41" fontId="16" fillId="0" borderId="6" xfId="0" applyNumberFormat="1" applyFont="1" applyBorder="1"/>
    <xf numFmtId="41" fontId="14" fillId="0" borderId="5" xfId="0" applyNumberFormat="1" applyFont="1" applyBorder="1"/>
    <xf numFmtId="164" fontId="14" fillId="2" borderId="5" xfId="1" applyNumberFormat="1" applyFont="1" applyFill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64" fontId="16" fillId="2" borderId="6" xfId="1" applyNumberFormat="1" applyFont="1" applyFill="1" applyBorder="1"/>
    <xf numFmtId="164" fontId="14" fillId="2" borderId="12" xfId="1" applyNumberFormat="1" applyFont="1" applyFill="1" applyBorder="1"/>
    <xf numFmtId="0" fontId="16" fillId="0" borderId="7" xfId="0" applyFon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wrapText="1"/>
    </xf>
    <xf numFmtId="41" fontId="16" fillId="2" borderId="6" xfId="0" applyNumberFormat="1" applyFont="1" applyFill="1" applyBorder="1"/>
    <xf numFmtId="41" fontId="16" fillId="2" borderId="7" xfId="0" applyNumberFormat="1" applyFont="1" applyFill="1" applyBorder="1"/>
    <xf numFmtId="41" fontId="14" fillId="0" borderId="7" xfId="0" applyNumberFormat="1" applyFont="1" applyBorder="1"/>
    <xf numFmtId="0" fontId="16" fillId="2" borderId="7" xfId="0" applyFont="1" applyFill="1" applyBorder="1" applyAlignment="1">
      <alignment wrapText="1"/>
    </xf>
    <xf numFmtId="0" fontId="16" fillId="0" borderId="13" xfId="0" applyFont="1" applyBorder="1" applyAlignment="1">
      <alignment wrapText="1"/>
    </xf>
    <xf numFmtId="0" fontId="14" fillId="0" borderId="13" xfId="0" applyFont="1" applyBorder="1" applyAlignment="1">
      <alignment wrapText="1"/>
    </xf>
    <xf numFmtId="41" fontId="14" fillId="0" borderId="12" xfId="0" applyNumberFormat="1" applyFont="1" applyBorder="1"/>
    <xf numFmtId="164" fontId="13" fillId="2" borderId="5" xfId="1" applyNumberFormat="1" applyFont="1" applyFill="1" applyBorder="1"/>
    <xf numFmtId="0" fontId="14" fillId="0" borderId="8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4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3" fillId="0" borderId="8" xfId="0" applyFont="1" applyBorder="1" applyAlignment="1">
      <alignment wrapText="1"/>
    </xf>
    <xf numFmtId="0" fontId="16" fillId="0" borderId="13" xfId="0" applyFont="1" applyBorder="1"/>
    <xf numFmtId="0" fontId="13" fillId="0" borderId="6" xfId="0" applyFont="1" applyBorder="1" applyAlignment="1">
      <alignment horizontal="center"/>
    </xf>
    <xf numFmtId="0" fontId="13" fillId="0" borderId="11" xfId="0" applyFont="1" applyBorder="1"/>
    <xf numFmtId="0" fontId="13" fillId="0" borderId="6" xfId="0" applyFont="1" applyBorder="1"/>
    <xf numFmtId="0" fontId="14" fillId="0" borderId="16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49" fontId="13" fillId="0" borderId="0" xfId="0" applyNumberFormat="1" applyFont="1"/>
    <xf numFmtId="0" fontId="17" fillId="0" borderId="0" xfId="0" applyFont="1" applyAlignment="1">
      <alignment horizontal="center"/>
    </xf>
    <xf numFmtId="41" fontId="13" fillId="0" borderId="0" xfId="0" applyNumberFormat="1" applyFont="1" applyAlignment="1">
      <alignment horizontal="center"/>
    </xf>
    <xf numFmtId="43" fontId="13" fillId="2" borderId="0" xfId="1" applyFont="1" applyFill="1" applyBorder="1" applyAlignment="1">
      <alignment horizontal="center"/>
    </xf>
    <xf numFmtId="41" fontId="11" fillId="0" borderId="0" xfId="0" applyNumberFormat="1" applyFont="1" applyAlignment="1">
      <alignment horizontal="center"/>
    </xf>
    <xf numFmtId="0" fontId="17" fillId="0" borderId="15" xfId="0" applyFont="1" applyBorder="1" applyAlignment="1">
      <alignment horizontal="center"/>
    </xf>
    <xf numFmtId="41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1" fontId="19" fillId="0" borderId="0" xfId="0" applyNumberFormat="1" applyFont="1" applyAlignment="1">
      <alignment horizontal="center"/>
    </xf>
    <xf numFmtId="0" fontId="17" fillId="0" borderId="14" xfId="0" applyFont="1" applyBorder="1" applyAlignment="1">
      <alignment horizontal="center"/>
    </xf>
    <xf numFmtId="41" fontId="17" fillId="0" borderId="0" xfId="0" applyNumberFormat="1" applyFont="1" applyAlignment="1">
      <alignment horizontal="center"/>
    </xf>
    <xf numFmtId="43" fontId="17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43" fontId="11" fillId="2" borderId="0" xfId="1" applyFont="1" applyFill="1"/>
    <xf numFmtId="43" fontId="15" fillId="2" borderId="0" xfId="1" applyFont="1" applyFill="1" applyBorder="1" applyAlignment="1">
      <alignment horizontal="center"/>
    </xf>
    <xf numFmtId="43" fontId="6" fillId="2" borderId="0" xfId="1" applyFont="1" applyFill="1" applyBorder="1" applyAlignment="1">
      <alignment horizontal="center"/>
    </xf>
    <xf numFmtId="41" fontId="20" fillId="0" borderId="0" xfId="0" applyNumberFormat="1" applyFont="1" applyAlignment="1">
      <alignment horizontal="center"/>
    </xf>
    <xf numFmtId="41" fontId="20" fillId="0" borderId="0" xfId="0" applyNumberFormat="1" applyFont="1" applyAlignment="1">
      <alignment horizontal="left"/>
    </xf>
    <xf numFmtId="1" fontId="20" fillId="2" borderId="0" xfId="0" applyNumberFormat="1" applyFont="1" applyFill="1" applyAlignment="1">
      <alignment horizontal="left"/>
    </xf>
    <xf numFmtId="41" fontId="14" fillId="2" borderId="6" xfId="0" applyNumberFormat="1" applyFont="1" applyFill="1" applyBorder="1"/>
    <xf numFmtId="41" fontId="14" fillId="2" borderId="5" xfId="0" applyNumberFormat="1" applyFont="1" applyFill="1" applyBorder="1"/>
    <xf numFmtId="41" fontId="14" fillId="2" borderId="7" xfId="0" applyNumberFormat="1" applyFont="1" applyFill="1" applyBorder="1"/>
    <xf numFmtId="41" fontId="14" fillId="2" borderId="9" xfId="0" applyNumberFormat="1" applyFont="1" applyFill="1" applyBorder="1"/>
    <xf numFmtId="41" fontId="16" fillId="2" borderId="5" xfId="0" applyNumberFormat="1" applyFont="1" applyFill="1" applyBorder="1"/>
    <xf numFmtId="43" fontId="20" fillId="0" borderId="0" xfId="1" applyFont="1"/>
    <xf numFmtId="0" fontId="20" fillId="0" borderId="0" xfId="0" applyFont="1"/>
    <xf numFmtId="43" fontId="20" fillId="0" borderId="0" xfId="1" applyFont="1" applyAlignment="1">
      <alignment horizontal="left"/>
    </xf>
    <xf numFmtId="43" fontId="20" fillId="2" borderId="0" xfId="1" applyFont="1" applyFill="1" applyBorder="1" applyAlignment="1">
      <alignment horizontal="left"/>
    </xf>
    <xf numFmtId="43" fontId="20" fillId="0" borderId="0" xfId="0" applyNumberFormat="1" applyFont="1"/>
    <xf numFmtId="43" fontId="20" fillId="0" borderId="17" xfId="0" applyNumberFormat="1" applyFont="1" applyBorder="1" applyAlignment="1">
      <alignment horizontal="left"/>
    </xf>
    <xf numFmtId="43" fontId="0" fillId="2" borderId="20" xfId="1" applyFont="1" applyFill="1" applyBorder="1"/>
    <xf numFmtId="43" fontId="0" fillId="0" borderId="20" xfId="1" applyFont="1" applyBorder="1"/>
    <xf numFmtId="43" fontId="0" fillId="2" borderId="18" xfId="1" applyFont="1" applyFill="1" applyBorder="1"/>
    <xf numFmtId="43" fontId="0" fillId="0" borderId="18" xfId="1" applyFont="1" applyBorder="1"/>
    <xf numFmtId="0" fontId="0" fillId="0" borderId="1" xfId="0" applyBorder="1"/>
    <xf numFmtId="43" fontId="0" fillId="2" borderId="2" xfId="1" applyFont="1" applyFill="1" applyBorder="1"/>
    <xf numFmtId="43" fontId="0" fillId="0" borderId="2" xfId="1" applyFont="1" applyBorder="1"/>
    <xf numFmtId="43" fontId="0" fillId="0" borderId="3" xfId="1" applyFont="1" applyBorder="1"/>
    <xf numFmtId="0" fontId="0" fillId="0" borderId="19" xfId="0" applyBorder="1"/>
    <xf numFmtId="0" fontId="0" fillId="0" borderId="21" xfId="0" applyBorder="1"/>
    <xf numFmtId="43" fontId="0" fillId="0" borderId="22" xfId="1" applyFont="1" applyBorder="1"/>
    <xf numFmtId="0" fontId="0" fillId="0" borderId="5" xfId="0" applyBorder="1"/>
    <xf numFmtId="43" fontId="0" fillId="0" borderId="12" xfId="1" applyFont="1" applyBorder="1"/>
    <xf numFmtId="43" fontId="0" fillId="0" borderId="23" xfId="1" applyFont="1" applyBorder="1"/>
    <xf numFmtId="43" fontId="0" fillId="0" borderId="24" xfId="1" applyFont="1" applyBorder="1"/>
    <xf numFmtId="43" fontId="0" fillId="0" borderId="13" xfId="1" applyFont="1" applyFill="1" applyBorder="1"/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1" fontId="16" fillId="2" borderId="9" xfId="0" applyNumberFormat="1" applyFont="1" applyFill="1" applyBorder="1"/>
    <xf numFmtId="41" fontId="14" fillId="0" borderId="25" xfId="0" applyNumberFormat="1" applyFont="1" applyBorder="1"/>
    <xf numFmtId="164" fontId="14" fillId="2" borderId="23" xfId="1" applyNumberFormat="1" applyFont="1" applyFill="1" applyBorder="1"/>
    <xf numFmtId="49" fontId="2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1" fontId="10" fillId="0" borderId="0" xfId="0" applyNumberFormat="1" applyFont="1" applyAlignment="1">
      <alignment horizontal="center"/>
    </xf>
    <xf numFmtId="43" fontId="20" fillId="2" borderId="0" xfId="1" applyFont="1" applyFill="1" applyAlignment="1">
      <alignment wrapText="1"/>
    </xf>
    <xf numFmtId="0" fontId="14" fillId="0" borderId="0" xfId="0" applyFont="1" applyAlignment="1">
      <alignment horizontal="center" wrapText="1"/>
    </xf>
    <xf numFmtId="41" fontId="14" fillId="0" borderId="0" xfId="0" applyNumberFormat="1" applyFont="1"/>
    <xf numFmtId="1" fontId="5" fillId="2" borderId="0" xfId="0" applyNumberFormat="1" applyFont="1" applyFill="1" applyAlignment="1">
      <alignment horizontal="center" wrapText="1"/>
    </xf>
    <xf numFmtId="1" fontId="5" fillId="2" borderId="0" xfId="0" applyNumberFormat="1" applyFont="1" applyFill="1" applyAlignment="1">
      <alignment horizontal="center"/>
    </xf>
    <xf numFmtId="164" fontId="14" fillId="2" borderId="0" xfId="1" applyNumberFormat="1" applyFont="1" applyFill="1" applyBorder="1"/>
    <xf numFmtId="164" fontId="16" fillId="2" borderId="0" xfId="1" applyNumberFormat="1" applyFont="1" applyFill="1" applyBorder="1"/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4" fontId="7" fillId="2" borderId="0" xfId="1" applyNumberFormat="1" applyFont="1" applyFill="1" applyBorder="1"/>
    <xf numFmtId="41" fontId="16" fillId="0" borderId="0" xfId="0" applyNumberFormat="1" applyFont="1"/>
    <xf numFmtId="41" fontId="16" fillId="2" borderId="0" xfId="0" applyNumberFormat="1" applyFont="1" applyFill="1"/>
    <xf numFmtId="41" fontId="14" fillId="2" borderId="0" xfId="0" applyNumberFormat="1" applyFont="1" applyFill="1"/>
    <xf numFmtId="164" fontId="13" fillId="2" borderId="0" xfId="1" applyNumberFormat="1" applyFont="1" applyFill="1" applyBorder="1"/>
    <xf numFmtId="1" fontId="14" fillId="2" borderId="0" xfId="0" applyNumberFormat="1" applyFont="1" applyFill="1"/>
    <xf numFmtId="1" fontId="14" fillId="2" borderId="10" xfId="0" applyNumberFormat="1" applyFont="1" applyFill="1" applyBorder="1" applyAlignment="1">
      <alignment horizontal="center"/>
    </xf>
    <xf numFmtId="164" fontId="13" fillId="2" borderId="8" xfId="1" applyNumberFormat="1" applyFont="1" applyFill="1" applyBorder="1"/>
    <xf numFmtId="164" fontId="16" fillId="2" borderId="8" xfId="1" applyNumberFormat="1" applyFont="1" applyFill="1" applyBorder="1"/>
    <xf numFmtId="164" fontId="16" fillId="2" borderId="10" xfId="1" applyNumberFormat="1" applyFont="1" applyFill="1" applyBorder="1"/>
    <xf numFmtId="164" fontId="14" fillId="2" borderId="8" xfId="1" applyNumberFormat="1" applyFont="1" applyFill="1" applyBorder="1"/>
    <xf numFmtId="1" fontId="14" fillId="2" borderId="3" xfId="0" applyNumberFormat="1" applyFont="1" applyFill="1" applyBorder="1" applyAlignment="1">
      <alignment horizontal="center" wrapText="1"/>
    </xf>
    <xf numFmtId="164" fontId="16" fillId="2" borderId="13" xfId="1" applyNumberFormat="1" applyFont="1" applyFill="1" applyBorder="1"/>
    <xf numFmtId="164" fontId="16" fillId="2" borderId="26" xfId="1" applyNumberFormat="1" applyFont="1" applyFill="1" applyBorder="1"/>
    <xf numFmtId="164" fontId="16" fillId="2" borderId="16" xfId="1" applyNumberFormat="1" applyFont="1" applyFill="1" applyBorder="1"/>
    <xf numFmtId="164" fontId="14" fillId="2" borderId="10" xfId="1" applyNumberFormat="1" applyFont="1" applyFill="1" applyBorder="1"/>
    <xf numFmtId="12" fontId="0" fillId="0" borderId="0" xfId="1" applyNumberFormat="1" applyFont="1"/>
    <xf numFmtId="43" fontId="0" fillId="3" borderId="23" xfId="1" applyFont="1" applyFill="1" applyBorder="1"/>
    <xf numFmtId="43" fontId="0" fillId="2" borderId="0" xfId="0" applyNumberFormat="1" applyFill="1"/>
    <xf numFmtId="164" fontId="0" fillId="0" borderId="0" xfId="0" applyNumberFormat="1"/>
    <xf numFmtId="43" fontId="6" fillId="2" borderId="0" xfId="1" applyFont="1" applyFill="1" applyBorder="1" applyAlignment="1">
      <alignment horizontal="center" wrapText="1"/>
    </xf>
    <xf numFmtId="41" fontId="20" fillId="0" borderId="0" xfId="0" applyNumberFormat="1" applyFont="1" applyAlignment="1">
      <alignment horizontal="left" wrapText="1"/>
    </xf>
    <xf numFmtId="43" fontId="20" fillId="0" borderId="0" xfId="1" applyFont="1" applyAlignment="1">
      <alignment horizontal="center"/>
    </xf>
    <xf numFmtId="43" fontId="20" fillId="0" borderId="27" xfId="0" applyNumberFormat="1" applyFont="1" applyBorder="1" applyAlignment="1">
      <alignment horizontal="left"/>
    </xf>
    <xf numFmtId="41" fontId="20" fillId="0" borderId="0" xfId="0" applyNumberFormat="1" applyFont="1"/>
    <xf numFmtId="43" fontId="20" fillId="0" borderId="0" xfId="0" applyNumberFormat="1" applyFont="1" applyAlignment="1">
      <alignment horizontal="left"/>
    </xf>
    <xf numFmtId="43" fontId="20" fillId="2" borderId="0" xfId="1" applyFont="1" applyFill="1"/>
    <xf numFmtId="43" fontId="20" fillId="2" borderId="0" xfId="1" applyFont="1" applyFill="1" applyAlignment="1">
      <alignment horizontal="left"/>
    </xf>
    <xf numFmtId="43" fontId="20" fillId="0" borderId="28" xfId="0" applyNumberFormat="1" applyFont="1" applyBorder="1"/>
    <xf numFmtId="43" fontId="20" fillId="2" borderId="0" xfId="1" applyFont="1" applyFill="1" applyAlignment="1">
      <alignment horizontal="left" wrapText="1"/>
    </xf>
    <xf numFmtId="43" fontId="20" fillId="2" borderId="17" xfId="1" applyFont="1" applyFill="1" applyBorder="1" applyAlignment="1">
      <alignment horizontal="left"/>
    </xf>
    <xf numFmtId="41" fontId="14" fillId="2" borderId="12" xfId="0" applyNumberFormat="1" applyFont="1" applyFill="1" applyBorder="1"/>
    <xf numFmtId="164" fontId="0" fillId="2" borderId="0" xfId="0" applyNumberFormat="1" applyFill="1"/>
    <xf numFmtId="41" fontId="0" fillId="0" borderId="0" xfId="0" applyNumberFormat="1"/>
    <xf numFmtId="0" fontId="22" fillId="4" borderId="0" xfId="0" applyFont="1" applyFill="1"/>
    <xf numFmtId="49" fontId="23" fillId="0" borderId="0" xfId="0" applyNumberFormat="1" applyFont="1" applyAlignment="1">
      <alignment horizontal="left" wrapText="1"/>
    </xf>
    <xf numFmtId="0" fontId="23" fillId="0" borderId="0" xfId="0" applyFont="1" applyAlignment="1">
      <alignment wrapText="1"/>
    </xf>
    <xf numFmtId="43" fontId="24" fillId="4" borderId="0" xfId="1" applyFont="1" applyFill="1" applyBorder="1" applyAlignment="1">
      <alignment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jo%20Econ&#243;mico%20(CES)\2020\2019\BIANNY%20REYES%20PROYECTOS\Consejo%20Econ&#243;mico%20(CES)\ESTADOS%20Y%20REPORTES%20MENSUAL%20ABRIL,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stado de Situación Financiera"/>
      <sheetName val="Estado de Rendimiento Financier"/>
      <sheetName val="Estado de Cambio"/>
      <sheetName val="Estado de flujo de Efectivo"/>
      <sheetName val="Ejecución Presupuestal"/>
      <sheetName val="Ejecución por Trimestre"/>
      <sheetName val="Nota de Disponibiliddes"/>
      <sheetName val="NOTA "/>
      <sheetName val="Nota CxC"/>
      <sheetName val="Moviliario y Equipo Neto"/>
      <sheetName val="Nota Bienes Intangibles"/>
      <sheetName val="Nota CxP"/>
      <sheetName val="Nota Ret. y Acum por P"/>
      <sheetName val="Ingresos"/>
      <sheetName val="Nota Relación de Gastos"/>
      <sheetName val="cuadre 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8"/>
  <sheetViews>
    <sheetView workbookViewId="0">
      <selection activeCell="H10" sqref="H10:H158"/>
    </sheetView>
  </sheetViews>
  <sheetFormatPr baseColWidth="10" defaultColWidth="11.42578125" defaultRowHeight="1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6" style="14" customWidth="1"/>
    <col min="9" max="9" width="16.140625" hidden="1" customWidth="1"/>
    <col min="213" max="213" width="4.85546875" bestFit="1" customWidth="1"/>
    <col min="214" max="214" width="5.85546875" bestFit="1" customWidth="1"/>
    <col min="215" max="215" width="7.42578125" bestFit="1" customWidth="1"/>
    <col min="216" max="216" width="8.140625" bestFit="1" customWidth="1"/>
    <col min="217" max="217" width="4.5703125" bestFit="1" customWidth="1"/>
    <col min="218" max="218" width="57.5703125" customWidth="1"/>
    <col min="219" max="219" width="14.28515625" customWidth="1"/>
    <col min="220" max="220" width="0.85546875" customWidth="1"/>
    <col min="221" max="221" width="16.5703125" bestFit="1" customWidth="1"/>
    <col min="222" max="222" width="13.42578125" bestFit="1" customWidth="1"/>
    <col min="469" max="469" width="4.85546875" bestFit="1" customWidth="1"/>
    <col min="470" max="470" width="5.85546875" bestFit="1" customWidth="1"/>
    <col min="471" max="471" width="7.42578125" bestFit="1" customWidth="1"/>
    <col min="472" max="472" width="8.140625" bestFit="1" customWidth="1"/>
    <col min="473" max="473" width="4.5703125" bestFit="1" customWidth="1"/>
    <col min="474" max="474" width="57.5703125" customWidth="1"/>
    <col min="475" max="475" width="14.28515625" customWidth="1"/>
    <col min="476" max="476" width="0.85546875" customWidth="1"/>
    <col min="477" max="477" width="16.5703125" bestFit="1" customWidth="1"/>
    <col min="478" max="478" width="13.42578125" bestFit="1" customWidth="1"/>
    <col min="725" max="725" width="4.85546875" bestFit="1" customWidth="1"/>
    <col min="726" max="726" width="5.85546875" bestFit="1" customWidth="1"/>
    <col min="727" max="727" width="7.42578125" bestFit="1" customWidth="1"/>
    <col min="728" max="728" width="8.140625" bestFit="1" customWidth="1"/>
    <col min="729" max="729" width="4.5703125" bestFit="1" customWidth="1"/>
    <col min="730" max="730" width="57.5703125" customWidth="1"/>
    <col min="731" max="731" width="14.28515625" customWidth="1"/>
    <col min="732" max="732" width="0.85546875" customWidth="1"/>
    <col min="733" max="733" width="16.5703125" bestFit="1" customWidth="1"/>
    <col min="734" max="734" width="13.42578125" bestFit="1" customWidth="1"/>
    <col min="981" max="981" width="4.85546875" bestFit="1" customWidth="1"/>
    <col min="982" max="982" width="5.85546875" bestFit="1" customWidth="1"/>
    <col min="983" max="983" width="7.42578125" bestFit="1" customWidth="1"/>
    <col min="984" max="984" width="8.140625" bestFit="1" customWidth="1"/>
    <col min="985" max="985" width="4.5703125" bestFit="1" customWidth="1"/>
    <col min="986" max="986" width="57.5703125" customWidth="1"/>
    <col min="987" max="987" width="14.28515625" customWidth="1"/>
    <col min="988" max="988" width="0.85546875" customWidth="1"/>
    <col min="989" max="989" width="16.5703125" bestFit="1" customWidth="1"/>
    <col min="990" max="990" width="13.42578125" bestFit="1" customWidth="1"/>
    <col min="1237" max="1237" width="4.85546875" bestFit="1" customWidth="1"/>
    <col min="1238" max="1238" width="5.85546875" bestFit="1" customWidth="1"/>
    <col min="1239" max="1239" width="7.42578125" bestFit="1" customWidth="1"/>
    <col min="1240" max="1240" width="8.140625" bestFit="1" customWidth="1"/>
    <col min="1241" max="1241" width="4.5703125" bestFit="1" customWidth="1"/>
    <col min="1242" max="1242" width="57.5703125" customWidth="1"/>
    <col min="1243" max="1243" width="14.28515625" customWidth="1"/>
    <col min="1244" max="1244" width="0.85546875" customWidth="1"/>
    <col min="1245" max="1245" width="16.5703125" bestFit="1" customWidth="1"/>
    <col min="1246" max="1246" width="13.42578125" bestFit="1" customWidth="1"/>
    <col min="1493" max="1493" width="4.85546875" bestFit="1" customWidth="1"/>
    <col min="1494" max="1494" width="5.85546875" bestFit="1" customWidth="1"/>
    <col min="1495" max="1495" width="7.42578125" bestFit="1" customWidth="1"/>
    <col min="1496" max="1496" width="8.140625" bestFit="1" customWidth="1"/>
    <col min="1497" max="1497" width="4.5703125" bestFit="1" customWidth="1"/>
    <col min="1498" max="1498" width="57.5703125" customWidth="1"/>
    <col min="1499" max="1499" width="14.28515625" customWidth="1"/>
    <col min="1500" max="1500" width="0.85546875" customWidth="1"/>
    <col min="1501" max="1501" width="16.5703125" bestFit="1" customWidth="1"/>
    <col min="1502" max="1502" width="13.42578125" bestFit="1" customWidth="1"/>
    <col min="1749" max="1749" width="4.85546875" bestFit="1" customWidth="1"/>
    <col min="1750" max="1750" width="5.85546875" bestFit="1" customWidth="1"/>
    <col min="1751" max="1751" width="7.42578125" bestFit="1" customWidth="1"/>
    <col min="1752" max="1752" width="8.140625" bestFit="1" customWidth="1"/>
    <col min="1753" max="1753" width="4.5703125" bestFit="1" customWidth="1"/>
    <col min="1754" max="1754" width="57.5703125" customWidth="1"/>
    <col min="1755" max="1755" width="14.28515625" customWidth="1"/>
    <col min="1756" max="1756" width="0.85546875" customWidth="1"/>
    <col min="1757" max="1757" width="16.5703125" bestFit="1" customWidth="1"/>
    <col min="1758" max="1758" width="13.42578125" bestFit="1" customWidth="1"/>
    <col min="2005" max="2005" width="4.85546875" bestFit="1" customWidth="1"/>
    <col min="2006" max="2006" width="5.85546875" bestFit="1" customWidth="1"/>
    <col min="2007" max="2007" width="7.42578125" bestFit="1" customWidth="1"/>
    <col min="2008" max="2008" width="8.140625" bestFit="1" customWidth="1"/>
    <col min="2009" max="2009" width="4.5703125" bestFit="1" customWidth="1"/>
    <col min="2010" max="2010" width="57.5703125" customWidth="1"/>
    <col min="2011" max="2011" width="14.28515625" customWidth="1"/>
    <col min="2012" max="2012" width="0.85546875" customWidth="1"/>
    <col min="2013" max="2013" width="16.5703125" bestFit="1" customWidth="1"/>
    <col min="2014" max="2014" width="13.42578125" bestFit="1" customWidth="1"/>
    <col min="2261" max="2261" width="4.85546875" bestFit="1" customWidth="1"/>
    <col min="2262" max="2262" width="5.85546875" bestFit="1" customWidth="1"/>
    <col min="2263" max="2263" width="7.42578125" bestFit="1" customWidth="1"/>
    <col min="2264" max="2264" width="8.140625" bestFit="1" customWidth="1"/>
    <col min="2265" max="2265" width="4.5703125" bestFit="1" customWidth="1"/>
    <col min="2266" max="2266" width="57.5703125" customWidth="1"/>
    <col min="2267" max="2267" width="14.28515625" customWidth="1"/>
    <col min="2268" max="2268" width="0.85546875" customWidth="1"/>
    <col min="2269" max="2269" width="16.5703125" bestFit="1" customWidth="1"/>
    <col min="2270" max="2270" width="13.42578125" bestFit="1" customWidth="1"/>
    <col min="2517" max="2517" width="4.85546875" bestFit="1" customWidth="1"/>
    <col min="2518" max="2518" width="5.85546875" bestFit="1" customWidth="1"/>
    <col min="2519" max="2519" width="7.42578125" bestFit="1" customWidth="1"/>
    <col min="2520" max="2520" width="8.140625" bestFit="1" customWidth="1"/>
    <col min="2521" max="2521" width="4.5703125" bestFit="1" customWidth="1"/>
    <col min="2522" max="2522" width="57.5703125" customWidth="1"/>
    <col min="2523" max="2523" width="14.28515625" customWidth="1"/>
    <col min="2524" max="2524" width="0.85546875" customWidth="1"/>
    <col min="2525" max="2525" width="16.5703125" bestFit="1" customWidth="1"/>
    <col min="2526" max="2526" width="13.42578125" bestFit="1" customWidth="1"/>
    <col min="2773" max="2773" width="4.85546875" bestFit="1" customWidth="1"/>
    <col min="2774" max="2774" width="5.85546875" bestFit="1" customWidth="1"/>
    <col min="2775" max="2775" width="7.42578125" bestFit="1" customWidth="1"/>
    <col min="2776" max="2776" width="8.140625" bestFit="1" customWidth="1"/>
    <col min="2777" max="2777" width="4.5703125" bestFit="1" customWidth="1"/>
    <col min="2778" max="2778" width="57.5703125" customWidth="1"/>
    <col min="2779" max="2779" width="14.28515625" customWidth="1"/>
    <col min="2780" max="2780" width="0.85546875" customWidth="1"/>
    <col min="2781" max="2781" width="16.5703125" bestFit="1" customWidth="1"/>
    <col min="2782" max="2782" width="13.42578125" bestFit="1" customWidth="1"/>
    <col min="3029" max="3029" width="4.85546875" bestFit="1" customWidth="1"/>
    <col min="3030" max="3030" width="5.85546875" bestFit="1" customWidth="1"/>
    <col min="3031" max="3031" width="7.42578125" bestFit="1" customWidth="1"/>
    <col min="3032" max="3032" width="8.140625" bestFit="1" customWidth="1"/>
    <col min="3033" max="3033" width="4.5703125" bestFit="1" customWidth="1"/>
    <col min="3034" max="3034" width="57.5703125" customWidth="1"/>
    <col min="3035" max="3035" width="14.28515625" customWidth="1"/>
    <col min="3036" max="3036" width="0.85546875" customWidth="1"/>
    <col min="3037" max="3037" width="16.5703125" bestFit="1" customWidth="1"/>
    <col min="3038" max="3038" width="13.42578125" bestFit="1" customWidth="1"/>
    <col min="3285" max="3285" width="4.85546875" bestFit="1" customWidth="1"/>
    <col min="3286" max="3286" width="5.85546875" bestFit="1" customWidth="1"/>
    <col min="3287" max="3287" width="7.42578125" bestFit="1" customWidth="1"/>
    <col min="3288" max="3288" width="8.140625" bestFit="1" customWidth="1"/>
    <col min="3289" max="3289" width="4.5703125" bestFit="1" customWidth="1"/>
    <col min="3290" max="3290" width="57.5703125" customWidth="1"/>
    <col min="3291" max="3291" width="14.28515625" customWidth="1"/>
    <col min="3292" max="3292" width="0.85546875" customWidth="1"/>
    <col min="3293" max="3293" width="16.5703125" bestFit="1" customWidth="1"/>
    <col min="3294" max="3294" width="13.42578125" bestFit="1" customWidth="1"/>
    <col min="3541" max="3541" width="4.85546875" bestFit="1" customWidth="1"/>
    <col min="3542" max="3542" width="5.85546875" bestFit="1" customWidth="1"/>
    <col min="3543" max="3543" width="7.42578125" bestFit="1" customWidth="1"/>
    <col min="3544" max="3544" width="8.140625" bestFit="1" customWidth="1"/>
    <col min="3545" max="3545" width="4.5703125" bestFit="1" customWidth="1"/>
    <col min="3546" max="3546" width="57.5703125" customWidth="1"/>
    <col min="3547" max="3547" width="14.28515625" customWidth="1"/>
    <col min="3548" max="3548" width="0.85546875" customWidth="1"/>
    <col min="3549" max="3549" width="16.5703125" bestFit="1" customWidth="1"/>
    <col min="3550" max="3550" width="13.42578125" bestFit="1" customWidth="1"/>
    <col min="3797" max="3797" width="4.85546875" bestFit="1" customWidth="1"/>
    <col min="3798" max="3798" width="5.85546875" bestFit="1" customWidth="1"/>
    <col min="3799" max="3799" width="7.42578125" bestFit="1" customWidth="1"/>
    <col min="3800" max="3800" width="8.140625" bestFit="1" customWidth="1"/>
    <col min="3801" max="3801" width="4.5703125" bestFit="1" customWidth="1"/>
    <col min="3802" max="3802" width="57.5703125" customWidth="1"/>
    <col min="3803" max="3803" width="14.28515625" customWidth="1"/>
    <col min="3804" max="3804" width="0.85546875" customWidth="1"/>
    <col min="3805" max="3805" width="16.5703125" bestFit="1" customWidth="1"/>
    <col min="3806" max="3806" width="13.42578125" bestFit="1" customWidth="1"/>
    <col min="4053" max="4053" width="4.85546875" bestFit="1" customWidth="1"/>
    <col min="4054" max="4054" width="5.85546875" bestFit="1" customWidth="1"/>
    <col min="4055" max="4055" width="7.42578125" bestFit="1" customWidth="1"/>
    <col min="4056" max="4056" width="8.140625" bestFit="1" customWidth="1"/>
    <col min="4057" max="4057" width="4.5703125" bestFit="1" customWidth="1"/>
    <col min="4058" max="4058" width="57.5703125" customWidth="1"/>
    <col min="4059" max="4059" width="14.28515625" customWidth="1"/>
    <col min="4060" max="4060" width="0.85546875" customWidth="1"/>
    <col min="4061" max="4061" width="16.5703125" bestFit="1" customWidth="1"/>
    <col min="4062" max="4062" width="13.42578125" bestFit="1" customWidth="1"/>
    <col min="4309" max="4309" width="4.85546875" bestFit="1" customWidth="1"/>
    <col min="4310" max="4310" width="5.85546875" bestFit="1" customWidth="1"/>
    <col min="4311" max="4311" width="7.42578125" bestFit="1" customWidth="1"/>
    <col min="4312" max="4312" width="8.140625" bestFit="1" customWidth="1"/>
    <col min="4313" max="4313" width="4.5703125" bestFit="1" customWidth="1"/>
    <col min="4314" max="4314" width="57.5703125" customWidth="1"/>
    <col min="4315" max="4315" width="14.28515625" customWidth="1"/>
    <col min="4316" max="4316" width="0.85546875" customWidth="1"/>
    <col min="4317" max="4317" width="16.5703125" bestFit="1" customWidth="1"/>
    <col min="4318" max="4318" width="13.42578125" bestFit="1" customWidth="1"/>
    <col min="4565" max="4565" width="4.85546875" bestFit="1" customWidth="1"/>
    <col min="4566" max="4566" width="5.85546875" bestFit="1" customWidth="1"/>
    <col min="4567" max="4567" width="7.42578125" bestFit="1" customWidth="1"/>
    <col min="4568" max="4568" width="8.140625" bestFit="1" customWidth="1"/>
    <col min="4569" max="4569" width="4.5703125" bestFit="1" customWidth="1"/>
    <col min="4570" max="4570" width="57.5703125" customWidth="1"/>
    <col min="4571" max="4571" width="14.28515625" customWidth="1"/>
    <col min="4572" max="4572" width="0.85546875" customWidth="1"/>
    <col min="4573" max="4573" width="16.5703125" bestFit="1" customWidth="1"/>
    <col min="4574" max="4574" width="13.42578125" bestFit="1" customWidth="1"/>
    <col min="4821" max="4821" width="4.85546875" bestFit="1" customWidth="1"/>
    <col min="4822" max="4822" width="5.85546875" bestFit="1" customWidth="1"/>
    <col min="4823" max="4823" width="7.42578125" bestFit="1" customWidth="1"/>
    <col min="4824" max="4824" width="8.140625" bestFit="1" customWidth="1"/>
    <col min="4825" max="4825" width="4.5703125" bestFit="1" customWidth="1"/>
    <col min="4826" max="4826" width="57.5703125" customWidth="1"/>
    <col min="4827" max="4827" width="14.28515625" customWidth="1"/>
    <col min="4828" max="4828" width="0.85546875" customWidth="1"/>
    <col min="4829" max="4829" width="16.5703125" bestFit="1" customWidth="1"/>
    <col min="4830" max="4830" width="13.42578125" bestFit="1" customWidth="1"/>
    <col min="5077" max="5077" width="4.85546875" bestFit="1" customWidth="1"/>
    <col min="5078" max="5078" width="5.85546875" bestFit="1" customWidth="1"/>
    <col min="5079" max="5079" width="7.42578125" bestFit="1" customWidth="1"/>
    <col min="5080" max="5080" width="8.140625" bestFit="1" customWidth="1"/>
    <col min="5081" max="5081" width="4.5703125" bestFit="1" customWidth="1"/>
    <col min="5082" max="5082" width="57.5703125" customWidth="1"/>
    <col min="5083" max="5083" width="14.28515625" customWidth="1"/>
    <col min="5084" max="5084" width="0.85546875" customWidth="1"/>
    <col min="5085" max="5085" width="16.5703125" bestFit="1" customWidth="1"/>
    <col min="5086" max="5086" width="13.42578125" bestFit="1" customWidth="1"/>
    <col min="5333" max="5333" width="4.85546875" bestFit="1" customWidth="1"/>
    <col min="5334" max="5334" width="5.85546875" bestFit="1" customWidth="1"/>
    <col min="5335" max="5335" width="7.42578125" bestFit="1" customWidth="1"/>
    <col min="5336" max="5336" width="8.140625" bestFit="1" customWidth="1"/>
    <col min="5337" max="5337" width="4.5703125" bestFit="1" customWidth="1"/>
    <col min="5338" max="5338" width="57.5703125" customWidth="1"/>
    <col min="5339" max="5339" width="14.28515625" customWidth="1"/>
    <col min="5340" max="5340" width="0.85546875" customWidth="1"/>
    <col min="5341" max="5341" width="16.5703125" bestFit="1" customWidth="1"/>
    <col min="5342" max="5342" width="13.42578125" bestFit="1" customWidth="1"/>
    <col min="5589" max="5589" width="4.85546875" bestFit="1" customWidth="1"/>
    <col min="5590" max="5590" width="5.85546875" bestFit="1" customWidth="1"/>
    <col min="5591" max="5591" width="7.42578125" bestFit="1" customWidth="1"/>
    <col min="5592" max="5592" width="8.140625" bestFit="1" customWidth="1"/>
    <col min="5593" max="5593" width="4.5703125" bestFit="1" customWidth="1"/>
    <col min="5594" max="5594" width="57.5703125" customWidth="1"/>
    <col min="5595" max="5595" width="14.28515625" customWidth="1"/>
    <col min="5596" max="5596" width="0.85546875" customWidth="1"/>
    <col min="5597" max="5597" width="16.5703125" bestFit="1" customWidth="1"/>
    <col min="5598" max="5598" width="13.42578125" bestFit="1" customWidth="1"/>
    <col min="5845" max="5845" width="4.85546875" bestFit="1" customWidth="1"/>
    <col min="5846" max="5846" width="5.85546875" bestFit="1" customWidth="1"/>
    <col min="5847" max="5847" width="7.42578125" bestFit="1" customWidth="1"/>
    <col min="5848" max="5848" width="8.140625" bestFit="1" customWidth="1"/>
    <col min="5849" max="5849" width="4.5703125" bestFit="1" customWidth="1"/>
    <col min="5850" max="5850" width="57.5703125" customWidth="1"/>
    <col min="5851" max="5851" width="14.28515625" customWidth="1"/>
    <col min="5852" max="5852" width="0.85546875" customWidth="1"/>
    <col min="5853" max="5853" width="16.5703125" bestFit="1" customWidth="1"/>
    <col min="5854" max="5854" width="13.42578125" bestFit="1" customWidth="1"/>
    <col min="6101" max="6101" width="4.85546875" bestFit="1" customWidth="1"/>
    <col min="6102" max="6102" width="5.85546875" bestFit="1" customWidth="1"/>
    <col min="6103" max="6103" width="7.42578125" bestFit="1" customWidth="1"/>
    <col min="6104" max="6104" width="8.140625" bestFit="1" customWidth="1"/>
    <col min="6105" max="6105" width="4.5703125" bestFit="1" customWidth="1"/>
    <col min="6106" max="6106" width="57.5703125" customWidth="1"/>
    <col min="6107" max="6107" width="14.28515625" customWidth="1"/>
    <col min="6108" max="6108" width="0.85546875" customWidth="1"/>
    <col min="6109" max="6109" width="16.5703125" bestFit="1" customWidth="1"/>
    <col min="6110" max="6110" width="13.42578125" bestFit="1" customWidth="1"/>
    <col min="6357" max="6357" width="4.85546875" bestFit="1" customWidth="1"/>
    <col min="6358" max="6358" width="5.85546875" bestFit="1" customWidth="1"/>
    <col min="6359" max="6359" width="7.42578125" bestFit="1" customWidth="1"/>
    <col min="6360" max="6360" width="8.140625" bestFit="1" customWidth="1"/>
    <col min="6361" max="6361" width="4.5703125" bestFit="1" customWidth="1"/>
    <col min="6362" max="6362" width="57.5703125" customWidth="1"/>
    <col min="6363" max="6363" width="14.28515625" customWidth="1"/>
    <col min="6364" max="6364" width="0.85546875" customWidth="1"/>
    <col min="6365" max="6365" width="16.5703125" bestFit="1" customWidth="1"/>
    <col min="6366" max="6366" width="13.42578125" bestFit="1" customWidth="1"/>
    <col min="6613" max="6613" width="4.85546875" bestFit="1" customWidth="1"/>
    <col min="6614" max="6614" width="5.85546875" bestFit="1" customWidth="1"/>
    <col min="6615" max="6615" width="7.42578125" bestFit="1" customWidth="1"/>
    <col min="6616" max="6616" width="8.140625" bestFit="1" customWidth="1"/>
    <col min="6617" max="6617" width="4.5703125" bestFit="1" customWidth="1"/>
    <col min="6618" max="6618" width="57.5703125" customWidth="1"/>
    <col min="6619" max="6619" width="14.28515625" customWidth="1"/>
    <col min="6620" max="6620" width="0.85546875" customWidth="1"/>
    <col min="6621" max="6621" width="16.5703125" bestFit="1" customWidth="1"/>
    <col min="6622" max="6622" width="13.42578125" bestFit="1" customWidth="1"/>
    <col min="6869" max="6869" width="4.85546875" bestFit="1" customWidth="1"/>
    <col min="6870" max="6870" width="5.85546875" bestFit="1" customWidth="1"/>
    <col min="6871" max="6871" width="7.42578125" bestFit="1" customWidth="1"/>
    <col min="6872" max="6872" width="8.140625" bestFit="1" customWidth="1"/>
    <col min="6873" max="6873" width="4.5703125" bestFit="1" customWidth="1"/>
    <col min="6874" max="6874" width="57.5703125" customWidth="1"/>
    <col min="6875" max="6875" width="14.28515625" customWidth="1"/>
    <col min="6876" max="6876" width="0.85546875" customWidth="1"/>
    <col min="6877" max="6877" width="16.5703125" bestFit="1" customWidth="1"/>
    <col min="6878" max="6878" width="13.42578125" bestFit="1" customWidth="1"/>
    <col min="7125" max="7125" width="4.85546875" bestFit="1" customWidth="1"/>
    <col min="7126" max="7126" width="5.85546875" bestFit="1" customWidth="1"/>
    <col min="7127" max="7127" width="7.42578125" bestFit="1" customWidth="1"/>
    <col min="7128" max="7128" width="8.140625" bestFit="1" customWidth="1"/>
    <col min="7129" max="7129" width="4.5703125" bestFit="1" customWidth="1"/>
    <col min="7130" max="7130" width="57.5703125" customWidth="1"/>
    <col min="7131" max="7131" width="14.28515625" customWidth="1"/>
    <col min="7132" max="7132" width="0.85546875" customWidth="1"/>
    <col min="7133" max="7133" width="16.5703125" bestFit="1" customWidth="1"/>
    <col min="7134" max="7134" width="13.42578125" bestFit="1" customWidth="1"/>
    <col min="7381" max="7381" width="4.85546875" bestFit="1" customWidth="1"/>
    <col min="7382" max="7382" width="5.85546875" bestFit="1" customWidth="1"/>
    <col min="7383" max="7383" width="7.42578125" bestFit="1" customWidth="1"/>
    <col min="7384" max="7384" width="8.140625" bestFit="1" customWidth="1"/>
    <col min="7385" max="7385" width="4.5703125" bestFit="1" customWidth="1"/>
    <col min="7386" max="7386" width="57.5703125" customWidth="1"/>
    <col min="7387" max="7387" width="14.28515625" customWidth="1"/>
    <col min="7388" max="7388" width="0.85546875" customWidth="1"/>
    <col min="7389" max="7389" width="16.5703125" bestFit="1" customWidth="1"/>
    <col min="7390" max="7390" width="13.42578125" bestFit="1" customWidth="1"/>
    <col min="7637" max="7637" width="4.85546875" bestFit="1" customWidth="1"/>
    <col min="7638" max="7638" width="5.85546875" bestFit="1" customWidth="1"/>
    <col min="7639" max="7639" width="7.42578125" bestFit="1" customWidth="1"/>
    <col min="7640" max="7640" width="8.140625" bestFit="1" customWidth="1"/>
    <col min="7641" max="7641" width="4.5703125" bestFit="1" customWidth="1"/>
    <col min="7642" max="7642" width="57.5703125" customWidth="1"/>
    <col min="7643" max="7643" width="14.28515625" customWidth="1"/>
    <col min="7644" max="7644" width="0.85546875" customWidth="1"/>
    <col min="7645" max="7645" width="16.5703125" bestFit="1" customWidth="1"/>
    <col min="7646" max="7646" width="13.42578125" bestFit="1" customWidth="1"/>
    <col min="7893" max="7893" width="4.85546875" bestFit="1" customWidth="1"/>
    <col min="7894" max="7894" width="5.85546875" bestFit="1" customWidth="1"/>
    <col min="7895" max="7895" width="7.42578125" bestFit="1" customWidth="1"/>
    <col min="7896" max="7896" width="8.140625" bestFit="1" customWidth="1"/>
    <col min="7897" max="7897" width="4.5703125" bestFit="1" customWidth="1"/>
    <col min="7898" max="7898" width="57.5703125" customWidth="1"/>
    <col min="7899" max="7899" width="14.28515625" customWidth="1"/>
    <col min="7900" max="7900" width="0.85546875" customWidth="1"/>
    <col min="7901" max="7901" width="16.5703125" bestFit="1" customWidth="1"/>
    <col min="7902" max="7902" width="13.42578125" bestFit="1" customWidth="1"/>
    <col min="8149" max="8149" width="4.85546875" bestFit="1" customWidth="1"/>
    <col min="8150" max="8150" width="5.85546875" bestFit="1" customWidth="1"/>
    <col min="8151" max="8151" width="7.42578125" bestFit="1" customWidth="1"/>
    <col min="8152" max="8152" width="8.140625" bestFit="1" customWidth="1"/>
    <col min="8153" max="8153" width="4.5703125" bestFit="1" customWidth="1"/>
    <col min="8154" max="8154" width="57.5703125" customWidth="1"/>
    <col min="8155" max="8155" width="14.28515625" customWidth="1"/>
    <col min="8156" max="8156" width="0.85546875" customWidth="1"/>
    <col min="8157" max="8157" width="16.5703125" bestFit="1" customWidth="1"/>
    <col min="8158" max="8158" width="13.42578125" bestFit="1" customWidth="1"/>
    <col min="8405" max="8405" width="4.85546875" bestFit="1" customWidth="1"/>
    <col min="8406" max="8406" width="5.85546875" bestFit="1" customWidth="1"/>
    <col min="8407" max="8407" width="7.42578125" bestFit="1" customWidth="1"/>
    <col min="8408" max="8408" width="8.140625" bestFit="1" customWidth="1"/>
    <col min="8409" max="8409" width="4.5703125" bestFit="1" customWidth="1"/>
    <col min="8410" max="8410" width="57.5703125" customWidth="1"/>
    <col min="8411" max="8411" width="14.28515625" customWidth="1"/>
    <col min="8412" max="8412" width="0.85546875" customWidth="1"/>
    <col min="8413" max="8413" width="16.5703125" bestFit="1" customWidth="1"/>
    <col min="8414" max="8414" width="13.42578125" bestFit="1" customWidth="1"/>
    <col min="8661" max="8661" width="4.85546875" bestFit="1" customWidth="1"/>
    <col min="8662" max="8662" width="5.85546875" bestFit="1" customWidth="1"/>
    <col min="8663" max="8663" width="7.42578125" bestFit="1" customWidth="1"/>
    <col min="8664" max="8664" width="8.140625" bestFit="1" customWidth="1"/>
    <col min="8665" max="8665" width="4.5703125" bestFit="1" customWidth="1"/>
    <col min="8666" max="8666" width="57.5703125" customWidth="1"/>
    <col min="8667" max="8667" width="14.28515625" customWidth="1"/>
    <col min="8668" max="8668" width="0.85546875" customWidth="1"/>
    <col min="8669" max="8669" width="16.5703125" bestFit="1" customWidth="1"/>
    <col min="8670" max="8670" width="13.42578125" bestFit="1" customWidth="1"/>
    <col min="8917" max="8917" width="4.85546875" bestFit="1" customWidth="1"/>
    <col min="8918" max="8918" width="5.85546875" bestFit="1" customWidth="1"/>
    <col min="8919" max="8919" width="7.42578125" bestFit="1" customWidth="1"/>
    <col min="8920" max="8920" width="8.140625" bestFit="1" customWidth="1"/>
    <col min="8921" max="8921" width="4.5703125" bestFit="1" customWidth="1"/>
    <col min="8922" max="8922" width="57.5703125" customWidth="1"/>
    <col min="8923" max="8923" width="14.28515625" customWidth="1"/>
    <col min="8924" max="8924" width="0.85546875" customWidth="1"/>
    <col min="8925" max="8925" width="16.5703125" bestFit="1" customWidth="1"/>
    <col min="8926" max="8926" width="13.42578125" bestFit="1" customWidth="1"/>
    <col min="9173" max="9173" width="4.85546875" bestFit="1" customWidth="1"/>
    <col min="9174" max="9174" width="5.85546875" bestFit="1" customWidth="1"/>
    <col min="9175" max="9175" width="7.42578125" bestFit="1" customWidth="1"/>
    <col min="9176" max="9176" width="8.140625" bestFit="1" customWidth="1"/>
    <col min="9177" max="9177" width="4.5703125" bestFit="1" customWidth="1"/>
    <col min="9178" max="9178" width="57.5703125" customWidth="1"/>
    <col min="9179" max="9179" width="14.28515625" customWidth="1"/>
    <col min="9180" max="9180" width="0.85546875" customWidth="1"/>
    <col min="9181" max="9181" width="16.5703125" bestFit="1" customWidth="1"/>
    <col min="9182" max="9182" width="13.42578125" bestFit="1" customWidth="1"/>
    <col min="9429" max="9429" width="4.85546875" bestFit="1" customWidth="1"/>
    <col min="9430" max="9430" width="5.85546875" bestFit="1" customWidth="1"/>
    <col min="9431" max="9431" width="7.42578125" bestFit="1" customWidth="1"/>
    <col min="9432" max="9432" width="8.140625" bestFit="1" customWidth="1"/>
    <col min="9433" max="9433" width="4.5703125" bestFit="1" customWidth="1"/>
    <col min="9434" max="9434" width="57.5703125" customWidth="1"/>
    <col min="9435" max="9435" width="14.28515625" customWidth="1"/>
    <col min="9436" max="9436" width="0.85546875" customWidth="1"/>
    <col min="9437" max="9437" width="16.5703125" bestFit="1" customWidth="1"/>
    <col min="9438" max="9438" width="13.42578125" bestFit="1" customWidth="1"/>
    <col min="9685" max="9685" width="4.85546875" bestFit="1" customWidth="1"/>
    <col min="9686" max="9686" width="5.85546875" bestFit="1" customWidth="1"/>
    <col min="9687" max="9687" width="7.42578125" bestFit="1" customWidth="1"/>
    <col min="9688" max="9688" width="8.140625" bestFit="1" customWidth="1"/>
    <col min="9689" max="9689" width="4.5703125" bestFit="1" customWidth="1"/>
    <col min="9690" max="9690" width="57.5703125" customWidth="1"/>
    <col min="9691" max="9691" width="14.28515625" customWidth="1"/>
    <col min="9692" max="9692" width="0.85546875" customWidth="1"/>
    <col min="9693" max="9693" width="16.5703125" bestFit="1" customWidth="1"/>
    <col min="9694" max="9694" width="13.42578125" bestFit="1" customWidth="1"/>
    <col min="9941" max="9941" width="4.85546875" bestFit="1" customWidth="1"/>
    <col min="9942" max="9942" width="5.85546875" bestFit="1" customWidth="1"/>
    <col min="9943" max="9943" width="7.42578125" bestFit="1" customWidth="1"/>
    <col min="9944" max="9944" width="8.140625" bestFit="1" customWidth="1"/>
    <col min="9945" max="9945" width="4.5703125" bestFit="1" customWidth="1"/>
    <col min="9946" max="9946" width="57.5703125" customWidth="1"/>
    <col min="9947" max="9947" width="14.28515625" customWidth="1"/>
    <col min="9948" max="9948" width="0.85546875" customWidth="1"/>
    <col min="9949" max="9949" width="16.5703125" bestFit="1" customWidth="1"/>
    <col min="9950" max="9950" width="13.42578125" bestFit="1" customWidth="1"/>
    <col min="10197" max="10197" width="4.85546875" bestFit="1" customWidth="1"/>
    <col min="10198" max="10198" width="5.85546875" bestFit="1" customWidth="1"/>
    <col min="10199" max="10199" width="7.42578125" bestFit="1" customWidth="1"/>
    <col min="10200" max="10200" width="8.140625" bestFit="1" customWidth="1"/>
    <col min="10201" max="10201" width="4.5703125" bestFit="1" customWidth="1"/>
    <col min="10202" max="10202" width="57.5703125" customWidth="1"/>
    <col min="10203" max="10203" width="14.28515625" customWidth="1"/>
    <col min="10204" max="10204" width="0.85546875" customWidth="1"/>
    <col min="10205" max="10205" width="16.5703125" bestFit="1" customWidth="1"/>
    <col min="10206" max="10206" width="13.42578125" bestFit="1" customWidth="1"/>
    <col min="10453" max="10453" width="4.85546875" bestFit="1" customWidth="1"/>
    <col min="10454" max="10454" width="5.85546875" bestFit="1" customWidth="1"/>
    <col min="10455" max="10455" width="7.42578125" bestFit="1" customWidth="1"/>
    <col min="10456" max="10456" width="8.140625" bestFit="1" customWidth="1"/>
    <col min="10457" max="10457" width="4.5703125" bestFit="1" customWidth="1"/>
    <col min="10458" max="10458" width="57.5703125" customWidth="1"/>
    <col min="10459" max="10459" width="14.28515625" customWidth="1"/>
    <col min="10460" max="10460" width="0.85546875" customWidth="1"/>
    <col min="10461" max="10461" width="16.5703125" bestFit="1" customWidth="1"/>
    <col min="10462" max="10462" width="13.42578125" bestFit="1" customWidth="1"/>
    <col min="10709" max="10709" width="4.85546875" bestFit="1" customWidth="1"/>
    <col min="10710" max="10710" width="5.85546875" bestFit="1" customWidth="1"/>
    <col min="10711" max="10711" width="7.42578125" bestFit="1" customWidth="1"/>
    <col min="10712" max="10712" width="8.140625" bestFit="1" customWidth="1"/>
    <col min="10713" max="10713" width="4.5703125" bestFit="1" customWidth="1"/>
    <col min="10714" max="10714" width="57.5703125" customWidth="1"/>
    <col min="10715" max="10715" width="14.28515625" customWidth="1"/>
    <col min="10716" max="10716" width="0.85546875" customWidth="1"/>
    <col min="10717" max="10717" width="16.5703125" bestFit="1" customWidth="1"/>
    <col min="10718" max="10718" width="13.42578125" bestFit="1" customWidth="1"/>
    <col min="10965" max="10965" width="4.85546875" bestFit="1" customWidth="1"/>
    <col min="10966" max="10966" width="5.85546875" bestFit="1" customWidth="1"/>
    <col min="10967" max="10967" width="7.42578125" bestFit="1" customWidth="1"/>
    <col min="10968" max="10968" width="8.140625" bestFit="1" customWidth="1"/>
    <col min="10969" max="10969" width="4.5703125" bestFit="1" customWidth="1"/>
    <col min="10970" max="10970" width="57.5703125" customWidth="1"/>
    <col min="10971" max="10971" width="14.28515625" customWidth="1"/>
    <col min="10972" max="10972" width="0.85546875" customWidth="1"/>
    <col min="10973" max="10973" width="16.5703125" bestFit="1" customWidth="1"/>
    <col min="10974" max="10974" width="13.42578125" bestFit="1" customWidth="1"/>
    <col min="11221" max="11221" width="4.85546875" bestFit="1" customWidth="1"/>
    <col min="11222" max="11222" width="5.85546875" bestFit="1" customWidth="1"/>
    <col min="11223" max="11223" width="7.42578125" bestFit="1" customWidth="1"/>
    <col min="11224" max="11224" width="8.140625" bestFit="1" customWidth="1"/>
    <col min="11225" max="11225" width="4.5703125" bestFit="1" customWidth="1"/>
    <col min="11226" max="11226" width="57.5703125" customWidth="1"/>
    <col min="11227" max="11227" width="14.28515625" customWidth="1"/>
    <col min="11228" max="11228" width="0.85546875" customWidth="1"/>
    <col min="11229" max="11229" width="16.5703125" bestFit="1" customWidth="1"/>
    <col min="11230" max="11230" width="13.42578125" bestFit="1" customWidth="1"/>
    <col min="11477" max="11477" width="4.85546875" bestFit="1" customWidth="1"/>
    <col min="11478" max="11478" width="5.85546875" bestFit="1" customWidth="1"/>
    <col min="11479" max="11479" width="7.42578125" bestFit="1" customWidth="1"/>
    <col min="11480" max="11480" width="8.140625" bestFit="1" customWidth="1"/>
    <col min="11481" max="11481" width="4.5703125" bestFit="1" customWidth="1"/>
    <col min="11482" max="11482" width="57.5703125" customWidth="1"/>
    <col min="11483" max="11483" width="14.28515625" customWidth="1"/>
    <col min="11484" max="11484" width="0.85546875" customWidth="1"/>
    <col min="11485" max="11485" width="16.5703125" bestFit="1" customWidth="1"/>
    <col min="11486" max="11486" width="13.42578125" bestFit="1" customWidth="1"/>
    <col min="11733" max="11733" width="4.85546875" bestFit="1" customWidth="1"/>
    <col min="11734" max="11734" width="5.85546875" bestFit="1" customWidth="1"/>
    <col min="11735" max="11735" width="7.42578125" bestFit="1" customWidth="1"/>
    <col min="11736" max="11736" width="8.140625" bestFit="1" customWidth="1"/>
    <col min="11737" max="11737" width="4.5703125" bestFit="1" customWidth="1"/>
    <col min="11738" max="11738" width="57.5703125" customWidth="1"/>
    <col min="11739" max="11739" width="14.28515625" customWidth="1"/>
    <col min="11740" max="11740" width="0.85546875" customWidth="1"/>
    <col min="11741" max="11741" width="16.5703125" bestFit="1" customWidth="1"/>
    <col min="11742" max="11742" width="13.42578125" bestFit="1" customWidth="1"/>
    <col min="11989" max="11989" width="4.85546875" bestFit="1" customWidth="1"/>
    <col min="11990" max="11990" width="5.85546875" bestFit="1" customWidth="1"/>
    <col min="11991" max="11991" width="7.42578125" bestFit="1" customWidth="1"/>
    <col min="11992" max="11992" width="8.140625" bestFit="1" customWidth="1"/>
    <col min="11993" max="11993" width="4.5703125" bestFit="1" customWidth="1"/>
    <col min="11994" max="11994" width="57.5703125" customWidth="1"/>
    <col min="11995" max="11995" width="14.28515625" customWidth="1"/>
    <col min="11996" max="11996" width="0.85546875" customWidth="1"/>
    <col min="11997" max="11997" width="16.5703125" bestFit="1" customWidth="1"/>
    <col min="11998" max="11998" width="13.42578125" bestFit="1" customWidth="1"/>
    <col min="12245" max="12245" width="4.85546875" bestFit="1" customWidth="1"/>
    <col min="12246" max="12246" width="5.85546875" bestFit="1" customWidth="1"/>
    <col min="12247" max="12247" width="7.42578125" bestFit="1" customWidth="1"/>
    <col min="12248" max="12248" width="8.140625" bestFit="1" customWidth="1"/>
    <col min="12249" max="12249" width="4.5703125" bestFit="1" customWidth="1"/>
    <col min="12250" max="12250" width="57.5703125" customWidth="1"/>
    <col min="12251" max="12251" width="14.28515625" customWidth="1"/>
    <col min="12252" max="12252" width="0.85546875" customWidth="1"/>
    <col min="12253" max="12253" width="16.5703125" bestFit="1" customWidth="1"/>
    <col min="12254" max="12254" width="13.42578125" bestFit="1" customWidth="1"/>
    <col min="12501" max="12501" width="4.85546875" bestFit="1" customWidth="1"/>
    <col min="12502" max="12502" width="5.85546875" bestFit="1" customWidth="1"/>
    <col min="12503" max="12503" width="7.42578125" bestFit="1" customWidth="1"/>
    <col min="12504" max="12504" width="8.140625" bestFit="1" customWidth="1"/>
    <col min="12505" max="12505" width="4.5703125" bestFit="1" customWidth="1"/>
    <col min="12506" max="12506" width="57.5703125" customWidth="1"/>
    <col min="12507" max="12507" width="14.28515625" customWidth="1"/>
    <col min="12508" max="12508" width="0.85546875" customWidth="1"/>
    <col min="12509" max="12509" width="16.5703125" bestFit="1" customWidth="1"/>
    <col min="12510" max="12510" width="13.42578125" bestFit="1" customWidth="1"/>
    <col min="12757" max="12757" width="4.85546875" bestFit="1" customWidth="1"/>
    <col min="12758" max="12758" width="5.85546875" bestFit="1" customWidth="1"/>
    <col min="12759" max="12759" width="7.42578125" bestFit="1" customWidth="1"/>
    <col min="12760" max="12760" width="8.140625" bestFit="1" customWidth="1"/>
    <col min="12761" max="12761" width="4.5703125" bestFit="1" customWidth="1"/>
    <col min="12762" max="12762" width="57.5703125" customWidth="1"/>
    <col min="12763" max="12763" width="14.28515625" customWidth="1"/>
    <col min="12764" max="12764" width="0.85546875" customWidth="1"/>
    <col min="12765" max="12765" width="16.5703125" bestFit="1" customWidth="1"/>
    <col min="12766" max="12766" width="13.42578125" bestFit="1" customWidth="1"/>
    <col min="13013" max="13013" width="4.85546875" bestFit="1" customWidth="1"/>
    <col min="13014" max="13014" width="5.85546875" bestFit="1" customWidth="1"/>
    <col min="13015" max="13015" width="7.42578125" bestFit="1" customWidth="1"/>
    <col min="13016" max="13016" width="8.140625" bestFit="1" customWidth="1"/>
    <col min="13017" max="13017" width="4.5703125" bestFit="1" customWidth="1"/>
    <col min="13018" max="13018" width="57.5703125" customWidth="1"/>
    <col min="13019" max="13019" width="14.28515625" customWidth="1"/>
    <col min="13020" max="13020" width="0.85546875" customWidth="1"/>
    <col min="13021" max="13021" width="16.5703125" bestFit="1" customWidth="1"/>
    <col min="13022" max="13022" width="13.42578125" bestFit="1" customWidth="1"/>
    <col min="13269" max="13269" width="4.85546875" bestFit="1" customWidth="1"/>
    <col min="13270" max="13270" width="5.85546875" bestFit="1" customWidth="1"/>
    <col min="13271" max="13271" width="7.42578125" bestFit="1" customWidth="1"/>
    <col min="13272" max="13272" width="8.140625" bestFit="1" customWidth="1"/>
    <col min="13273" max="13273" width="4.5703125" bestFit="1" customWidth="1"/>
    <col min="13274" max="13274" width="57.5703125" customWidth="1"/>
    <col min="13275" max="13275" width="14.28515625" customWidth="1"/>
    <col min="13276" max="13276" width="0.85546875" customWidth="1"/>
    <col min="13277" max="13277" width="16.5703125" bestFit="1" customWidth="1"/>
    <col min="13278" max="13278" width="13.42578125" bestFit="1" customWidth="1"/>
    <col min="13525" max="13525" width="4.85546875" bestFit="1" customWidth="1"/>
    <col min="13526" max="13526" width="5.85546875" bestFit="1" customWidth="1"/>
    <col min="13527" max="13527" width="7.42578125" bestFit="1" customWidth="1"/>
    <col min="13528" max="13528" width="8.140625" bestFit="1" customWidth="1"/>
    <col min="13529" max="13529" width="4.5703125" bestFit="1" customWidth="1"/>
    <col min="13530" max="13530" width="57.5703125" customWidth="1"/>
    <col min="13531" max="13531" width="14.28515625" customWidth="1"/>
    <col min="13532" max="13532" width="0.85546875" customWidth="1"/>
    <col min="13533" max="13533" width="16.5703125" bestFit="1" customWidth="1"/>
    <col min="13534" max="13534" width="13.42578125" bestFit="1" customWidth="1"/>
    <col min="13781" max="13781" width="4.85546875" bestFit="1" customWidth="1"/>
    <col min="13782" max="13782" width="5.85546875" bestFit="1" customWidth="1"/>
    <col min="13783" max="13783" width="7.42578125" bestFit="1" customWidth="1"/>
    <col min="13784" max="13784" width="8.140625" bestFit="1" customWidth="1"/>
    <col min="13785" max="13785" width="4.5703125" bestFit="1" customWidth="1"/>
    <col min="13786" max="13786" width="57.5703125" customWidth="1"/>
    <col min="13787" max="13787" width="14.28515625" customWidth="1"/>
    <col min="13788" max="13788" width="0.85546875" customWidth="1"/>
    <col min="13789" max="13789" width="16.5703125" bestFit="1" customWidth="1"/>
    <col min="13790" max="13790" width="13.42578125" bestFit="1" customWidth="1"/>
    <col min="14037" max="14037" width="4.85546875" bestFit="1" customWidth="1"/>
    <col min="14038" max="14038" width="5.85546875" bestFit="1" customWidth="1"/>
    <col min="14039" max="14039" width="7.42578125" bestFit="1" customWidth="1"/>
    <col min="14040" max="14040" width="8.140625" bestFit="1" customWidth="1"/>
    <col min="14041" max="14041" width="4.5703125" bestFit="1" customWidth="1"/>
    <col min="14042" max="14042" width="57.5703125" customWidth="1"/>
    <col min="14043" max="14043" width="14.28515625" customWidth="1"/>
    <col min="14044" max="14044" width="0.85546875" customWidth="1"/>
    <col min="14045" max="14045" width="16.5703125" bestFit="1" customWidth="1"/>
    <col min="14046" max="14046" width="13.42578125" bestFit="1" customWidth="1"/>
    <col min="14293" max="14293" width="4.85546875" bestFit="1" customWidth="1"/>
    <col min="14294" max="14294" width="5.85546875" bestFit="1" customWidth="1"/>
    <col min="14295" max="14295" width="7.42578125" bestFit="1" customWidth="1"/>
    <col min="14296" max="14296" width="8.140625" bestFit="1" customWidth="1"/>
    <col min="14297" max="14297" width="4.5703125" bestFit="1" customWidth="1"/>
    <col min="14298" max="14298" width="57.5703125" customWidth="1"/>
    <col min="14299" max="14299" width="14.28515625" customWidth="1"/>
    <col min="14300" max="14300" width="0.85546875" customWidth="1"/>
    <col min="14301" max="14301" width="16.5703125" bestFit="1" customWidth="1"/>
    <col min="14302" max="14302" width="13.42578125" bestFit="1" customWidth="1"/>
    <col min="14549" max="14549" width="4.85546875" bestFit="1" customWidth="1"/>
    <col min="14550" max="14550" width="5.85546875" bestFit="1" customWidth="1"/>
    <col min="14551" max="14551" width="7.42578125" bestFit="1" customWidth="1"/>
    <col min="14552" max="14552" width="8.140625" bestFit="1" customWidth="1"/>
    <col min="14553" max="14553" width="4.5703125" bestFit="1" customWidth="1"/>
    <col min="14554" max="14554" width="57.5703125" customWidth="1"/>
    <col min="14555" max="14555" width="14.28515625" customWidth="1"/>
    <col min="14556" max="14556" width="0.85546875" customWidth="1"/>
    <col min="14557" max="14557" width="16.5703125" bestFit="1" customWidth="1"/>
    <col min="14558" max="14558" width="13.42578125" bestFit="1" customWidth="1"/>
    <col min="14805" max="14805" width="4.85546875" bestFit="1" customWidth="1"/>
    <col min="14806" max="14806" width="5.85546875" bestFit="1" customWidth="1"/>
    <col min="14807" max="14807" width="7.42578125" bestFit="1" customWidth="1"/>
    <col min="14808" max="14808" width="8.140625" bestFit="1" customWidth="1"/>
    <col min="14809" max="14809" width="4.5703125" bestFit="1" customWidth="1"/>
    <col min="14810" max="14810" width="57.5703125" customWidth="1"/>
    <col min="14811" max="14811" width="14.28515625" customWidth="1"/>
    <col min="14812" max="14812" width="0.85546875" customWidth="1"/>
    <col min="14813" max="14813" width="16.5703125" bestFit="1" customWidth="1"/>
    <col min="14814" max="14814" width="13.42578125" bestFit="1" customWidth="1"/>
    <col min="15061" max="15061" width="4.85546875" bestFit="1" customWidth="1"/>
    <col min="15062" max="15062" width="5.85546875" bestFit="1" customWidth="1"/>
    <col min="15063" max="15063" width="7.42578125" bestFit="1" customWidth="1"/>
    <col min="15064" max="15064" width="8.140625" bestFit="1" customWidth="1"/>
    <col min="15065" max="15065" width="4.5703125" bestFit="1" customWidth="1"/>
    <col min="15066" max="15066" width="57.5703125" customWidth="1"/>
    <col min="15067" max="15067" width="14.28515625" customWidth="1"/>
    <col min="15068" max="15068" width="0.85546875" customWidth="1"/>
    <col min="15069" max="15069" width="16.5703125" bestFit="1" customWidth="1"/>
    <col min="15070" max="15070" width="13.42578125" bestFit="1" customWidth="1"/>
    <col min="15317" max="15317" width="4.85546875" bestFit="1" customWidth="1"/>
    <col min="15318" max="15318" width="5.85546875" bestFit="1" customWidth="1"/>
    <col min="15319" max="15319" width="7.42578125" bestFit="1" customWidth="1"/>
    <col min="15320" max="15320" width="8.140625" bestFit="1" customWidth="1"/>
    <col min="15321" max="15321" width="4.5703125" bestFit="1" customWidth="1"/>
    <col min="15322" max="15322" width="57.5703125" customWidth="1"/>
    <col min="15323" max="15323" width="14.28515625" customWidth="1"/>
    <col min="15324" max="15324" width="0.85546875" customWidth="1"/>
    <col min="15325" max="15325" width="16.5703125" bestFit="1" customWidth="1"/>
    <col min="15326" max="15326" width="13.42578125" bestFit="1" customWidth="1"/>
    <col min="15573" max="15573" width="4.85546875" bestFit="1" customWidth="1"/>
    <col min="15574" max="15574" width="5.85546875" bestFit="1" customWidth="1"/>
    <col min="15575" max="15575" width="7.42578125" bestFit="1" customWidth="1"/>
    <col min="15576" max="15576" width="8.140625" bestFit="1" customWidth="1"/>
    <col min="15577" max="15577" width="4.5703125" bestFit="1" customWidth="1"/>
    <col min="15578" max="15578" width="57.5703125" customWidth="1"/>
    <col min="15579" max="15579" width="14.28515625" customWidth="1"/>
    <col min="15580" max="15580" width="0.85546875" customWidth="1"/>
    <col min="15581" max="15581" width="16.5703125" bestFit="1" customWidth="1"/>
    <col min="15582" max="15582" width="13.42578125" bestFit="1" customWidth="1"/>
    <col min="15829" max="15829" width="4.85546875" bestFit="1" customWidth="1"/>
    <col min="15830" max="15830" width="5.85546875" bestFit="1" customWidth="1"/>
    <col min="15831" max="15831" width="7.42578125" bestFit="1" customWidth="1"/>
    <col min="15832" max="15832" width="8.140625" bestFit="1" customWidth="1"/>
    <col min="15833" max="15833" width="4.5703125" bestFit="1" customWidth="1"/>
    <col min="15834" max="15834" width="57.5703125" customWidth="1"/>
    <col min="15835" max="15835" width="14.28515625" customWidth="1"/>
    <col min="15836" max="15836" width="0.85546875" customWidth="1"/>
    <col min="15837" max="15837" width="16.5703125" bestFit="1" customWidth="1"/>
    <col min="15838" max="15838" width="13.42578125" bestFit="1" customWidth="1"/>
    <col min="16085" max="16085" width="4.85546875" bestFit="1" customWidth="1"/>
    <col min="16086" max="16086" width="5.85546875" bestFit="1" customWidth="1"/>
    <col min="16087" max="16087" width="7.42578125" bestFit="1" customWidth="1"/>
    <col min="16088" max="16088" width="8.140625" bestFit="1" customWidth="1"/>
    <col min="16089" max="16089" width="4.5703125" bestFit="1" customWidth="1"/>
    <col min="16090" max="16090" width="57.5703125" customWidth="1"/>
    <col min="16091" max="16091" width="14.28515625" customWidth="1"/>
    <col min="16092" max="16092" width="0.85546875" customWidth="1"/>
    <col min="16093" max="16093" width="16.5703125" bestFit="1" customWidth="1"/>
    <col min="16094" max="16094" width="13.42578125" bestFit="1" customWidth="1"/>
  </cols>
  <sheetData>
    <row r="1" spans="1:9">
      <c r="A1" s="26"/>
      <c r="B1" s="26"/>
      <c r="C1" s="26"/>
      <c r="D1" s="26"/>
      <c r="E1" s="26"/>
      <c r="F1" s="26"/>
      <c r="G1" s="26"/>
      <c r="H1" s="27"/>
      <c r="I1" s="1"/>
    </row>
    <row r="2" spans="1:9">
      <c r="A2" s="26"/>
      <c r="B2" s="26"/>
      <c r="C2" s="26"/>
      <c r="D2" s="26"/>
      <c r="E2" s="26"/>
      <c r="F2" s="26"/>
      <c r="G2" s="26"/>
      <c r="H2" s="27"/>
      <c r="I2" s="1"/>
    </row>
    <row r="3" spans="1:9">
      <c r="A3" s="26"/>
      <c r="B3" s="26"/>
      <c r="C3" s="26"/>
      <c r="D3" s="26"/>
      <c r="E3" s="26"/>
      <c r="F3" s="26"/>
      <c r="G3" s="26"/>
      <c r="H3" s="27"/>
      <c r="I3" s="1"/>
    </row>
    <row r="4" spans="1:9">
      <c r="A4" s="26"/>
      <c r="B4" s="26"/>
      <c r="C4" s="26"/>
      <c r="D4" s="26"/>
      <c r="E4" s="26"/>
      <c r="F4" s="26"/>
      <c r="G4" s="26"/>
      <c r="H4" s="27"/>
      <c r="I4" s="1"/>
    </row>
    <row r="5" spans="1:9" ht="20.25">
      <c r="A5" s="202" t="str">
        <f>'[1]Estado de flujo de Efectivo'!A1:B1</f>
        <v>Consejo Económico y Social -CES-</v>
      </c>
      <c r="B5" s="202"/>
      <c r="C5" s="202"/>
      <c r="D5" s="202"/>
      <c r="E5" s="202"/>
      <c r="F5" s="202"/>
      <c r="G5" s="202"/>
      <c r="H5" s="202"/>
      <c r="I5" s="1"/>
    </row>
    <row r="6" spans="1:9" ht="20.25">
      <c r="A6" s="202" t="s">
        <v>141</v>
      </c>
      <c r="B6" s="202"/>
      <c r="C6" s="202"/>
      <c r="D6" s="202"/>
      <c r="E6" s="202"/>
      <c r="F6" s="202"/>
      <c r="G6" s="202"/>
      <c r="H6" s="202"/>
      <c r="I6" s="1"/>
    </row>
    <row r="7" spans="1:9" ht="20.25">
      <c r="A7" s="202" t="s">
        <v>0</v>
      </c>
      <c r="B7" s="202"/>
      <c r="C7" s="202"/>
      <c r="D7" s="202"/>
      <c r="E7" s="202"/>
      <c r="F7" s="202"/>
      <c r="G7" s="202"/>
      <c r="H7" s="202"/>
      <c r="I7" s="1"/>
    </row>
    <row r="8" spans="1:9" ht="18.75" customHeight="1" thickBot="1">
      <c r="A8" s="28"/>
      <c r="B8" s="28"/>
      <c r="C8" s="28"/>
      <c r="D8" s="28"/>
      <c r="E8" s="29"/>
      <c r="F8" s="30"/>
      <c r="G8" s="31"/>
      <c r="H8" s="32"/>
      <c r="I8" s="1"/>
    </row>
    <row r="9" spans="1:9" ht="0.75" customHeight="1" thickBot="1">
      <c r="A9" s="203" t="s">
        <v>1</v>
      </c>
      <c r="B9" s="204"/>
      <c r="C9" s="204"/>
      <c r="D9" s="204"/>
      <c r="E9" s="205"/>
      <c r="F9" s="33"/>
      <c r="G9" s="34" t="s">
        <v>2</v>
      </c>
      <c r="H9" s="35" t="s">
        <v>2</v>
      </c>
      <c r="I9" s="1"/>
    </row>
    <row r="10" spans="1:9" ht="49.5" customHeight="1" thickBot="1">
      <c r="A10" s="146"/>
      <c r="B10" s="146"/>
      <c r="C10" s="147"/>
      <c r="D10" s="147"/>
      <c r="E10" s="148"/>
      <c r="F10" s="36"/>
      <c r="G10" s="37" t="s">
        <v>143</v>
      </c>
      <c r="H10" s="38" t="s">
        <v>142</v>
      </c>
      <c r="I10" s="2" t="s">
        <v>3</v>
      </c>
    </row>
    <row r="11" spans="1:9" ht="32.25" thickBot="1">
      <c r="A11" s="39" t="s">
        <v>4</v>
      </c>
      <c r="B11" s="37" t="s">
        <v>5</v>
      </c>
      <c r="C11" s="40" t="s">
        <v>6</v>
      </c>
      <c r="D11" s="37" t="s">
        <v>7</v>
      </c>
      <c r="E11" s="37" t="s">
        <v>8</v>
      </c>
      <c r="F11" s="146" t="s">
        <v>9</v>
      </c>
      <c r="G11" s="41" t="s">
        <v>10</v>
      </c>
      <c r="H11" s="42" t="s">
        <v>10</v>
      </c>
      <c r="I11" s="3" t="s">
        <v>10</v>
      </c>
    </row>
    <row r="12" spans="1:9" ht="15.75">
      <c r="A12" s="43"/>
      <c r="B12" s="44"/>
      <c r="C12" s="45"/>
      <c r="D12" s="46"/>
      <c r="E12" s="47"/>
      <c r="F12" s="48"/>
      <c r="G12" s="49"/>
      <c r="H12" s="50"/>
      <c r="I12" s="4"/>
    </row>
    <row r="13" spans="1:9" ht="16.5" thickBot="1">
      <c r="A13" s="44">
        <v>2</v>
      </c>
      <c r="B13" s="44">
        <v>1</v>
      </c>
      <c r="C13" s="51"/>
      <c r="D13" s="44"/>
      <c r="E13" s="52"/>
      <c r="F13" s="53" t="s">
        <v>11</v>
      </c>
      <c r="G13" s="54">
        <f>G14+G32+G43+G48</f>
        <v>33477126</v>
      </c>
      <c r="H13" s="54">
        <f>H14+H32+H43+H48</f>
        <v>2407434.8200000003</v>
      </c>
      <c r="I13" s="54">
        <f>I14+I32+I43+I48</f>
        <v>31069691.18</v>
      </c>
    </row>
    <row r="14" spans="1:9" ht="16.5" thickBot="1">
      <c r="A14" s="44">
        <v>2</v>
      </c>
      <c r="B14" s="44">
        <v>1</v>
      </c>
      <c r="C14" s="51">
        <v>1</v>
      </c>
      <c r="D14" s="44"/>
      <c r="E14" s="52"/>
      <c r="F14" s="53" t="s">
        <v>12</v>
      </c>
      <c r="G14" s="55">
        <f>G15+G18+G23+G26</f>
        <v>25377001</v>
      </c>
      <c r="H14" s="55">
        <f>H15+H18+H23+H26</f>
        <v>1947455.32</v>
      </c>
      <c r="I14" s="55">
        <f>I15+I18+I23+I26</f>
        <v>23429545.68</v>
      </c>
    </row>
    <row r="15" spans="1:9" ht="16.5" thickBot="1">
      <c r="A15" s="44">
        <v>2</v>
      </c>
      <c r="B15" s="44">
        <v>1</v>
      </c>
      <c r="C15" s="51">
        <v>1</v>
      </c>
      <c r="D15" s="44">
        <v>1</v>
      </c>
      <c r="E15" s="52"/>
      <c r="F15" s="53" t="s">
        <v>13</v>
      </c>
      <c r="G15" s="56">
        <f>G16</f>
        <v>6300000</v>
      </c>
      <c r="H15" s="57">
        <f>H16</f>
        <v>525000</v>
      </c>
      <c r="I15" s="57">
        <f>I16</f>
        <v>5775000</v>
      </c>
    </row>
    <row r="16" spans="1:9" ht="15.75">
      <c r="A16" s="44">
        <v>2</v>
      </c>
      <c r="B16" s="44">
        <v>1</v>
      </c>
      <c r="C16" s="51">
        <v>1</v>
      </c>
      <c r="D16" s="44">
        <v>1</v>
      </c>
      <c r="E16" s="44">
        <v>1</v>
      </c>
      <c r="F16" s="58" t="s">
        <v>14</v>
      </c>
      <c r="G16" s="59">
        <v>6300000</v>
      </c>
      <c r="H16" s="60">
        <f>300000+225000</f>
        <v>525000</v>
      </c>
      <c r="I16" s="6">
        <f>+G16-H16</f>
        <v>5775000</v>
      </c>
    </row>
    <row r="17" spans="1:9" ht="15.75">
      <c r="A17" s="44"/>
      <c r="B17" s="44"/>
      <c r="C17" s="51"/>
      <c r="D17" s="44"/>
      <c r="E17" s="43"/>
      <c r="F17" s="58"/>
      <c r="G17" s="61"/>
      <c r="H17" s="62"/>
      <c r="I17" s="7"/>
    </row>
    <row r="18" spans="1:9" ht="36" customHeight="1" thickBot="1">
      <c r="A18" s="44">
        <v>2</v>
      </c>
      <c r="B18" s="44">
        <v>1</v>
      </c>
      <c r="C18" s="51">
        <v>1</v>
      </c>
      <c r="D18" s="44">
        <v>2</v>
      </c>
      <c r="E18" s="52"/>
      <c r="F18" s="63" t="s">
        <v>15</v>
      </c>
      <c r="G18" s="54">
        <f>G19</f>
        <v>17124924</v>
      </c>
      <c r="H18" s="54">
        <f>H19+H20+H21</f>
        <v>1340721.32</v>
      </c>
      <c r="I18" s="54">
        <f>I19+I20+I21</f>
        <v>15784202.68</v>
      </c>
    </row>
    <row r="19" spans="1:9" ht="15.75">
      <c r="A19" s="44">
        <v>2</v>
      </c>
      <c r="B19" s="44">
        <v>1</v>
      </c>
      <c r="C19" s="51">
        <v>1</v>
      </c>
      <c r="D19" s="44">
        <v>2</v>
      </c>
      <c r="E19" s="44">
        <v>1</v>
      </c>
      <c r="F19" s="65" t="s">
        <v>16</v>
      </c>
      <c r="G19" s="66">
        <v>17124924</v>
      </c>
      <c r="H19" s="62">
        <f>73200+185000+185000+80000+120000+135000+53812+80000+66000+85000+60000+120000+29000+47419</f>
        <v>1319431</v>
      </c>
      <c r="I19" s="7">
        <f>+G19-H19</f>
        <v>15805493</v>
      </c>
    </row>
    <row r="20" spans="1:9" ht="15.75">
      <c r="A20" s="44">
        <v>2</v>
      </c>
      <c r="B20" s="44">
        <v>1</v>
      </c>
      <c r="C20" s="51">
        <v>1</v>
      </c>
      <c r="D20" s="44">
        <v>2</v>
      </c>
      <c r="E20" s="44">
        <v>2</v>
      </c>
      <c r="F20" s="65" t="s">
        <v>17</v>
      </c>
      <c r="G20" s="61"/>
      <c r="H20" s="62"/>
      <c r="I20" s="7"/>
    </row>
    <row r="21" spans="1:9" ht="15.75">
      <c r="A21" s="44">
        <v>2</v>
      </c>
      <c r="B21" s="44">
        <v>1</v>
      </c>
      <c r="C21" s="51">
        <v>1</v>
      </c>
      <c r="D21" s="44">
        <v>2</v>
      </c>
      <c r="E21" s="44">
        <v>5</v>
      </c>
      <c r="F21" s="65" t="s">
        <v>18</v>
      </c>
      <c r="G21" s="67"/>
      <c r="H21" s="69">
        <v>21290.32</v>
      </c>
      <c r="I21" s="9">
        <f>+G21-H21</f>
        <v>-21290.32</v>
      </c>
    </row>
    <row r="22" spans="1:9" ht="15.75">
      <c r="A22" s="44"/>
      <c r="B22" s="44"/>
      <c r="C22" s="51"/>
      <c r="D22" s="44"/>
      <c r="E22" s="44"/>
      <c r="F22" s="65"/>
      <c r="G22" s="67"/>
      <c r="H22" s="69" t="s">
        <v>19</v>
      </c>
      <c r="I22" s="9"/>
    </row>
    <row r="23" spans="1:9" ht="16.5" thickBot="1">
      <c r="A23" s="44">
        <v>2</v>
      </c>
      <c r="B23" s="44">
        <v>1</v>
      </c>
      <c r="C23" s="51">
        <v>1</v>
      </c>
      <c r="D23" s="44">
        <v>4</v>
      </c>
      <c r="E23" s="52"/>
      <c r="F23" s="63" t="s">
        <v>20</v>
      </c>
      <c r="G23" s="54">
        <f>G24</f>
        <v>1952077</v>
      </c>
      <c r="H23" s="54">
        <f>H24</f>
        <v>0</v>
      </c>
      <c r="I23" s="54">
        <f>I24</f>
        <v>1952077</v>
      </c>
    </row>
    <row r="24" spans="1:9" ht="15.75">
      <c r="A24" s="44">
        <v>2</v>
      </c>
      <c r="B24" s="44">
        <v>1</v>
      </c>
      <c r="C24" s="51">
        <v>1</v>
      </c>
      <c r="D24" s="44">
        <v>4</v>
      </c>
      <c r="E24" s="44">
        <v>1</v>
      </c>
      <c r="F24" s="65" t="s">
        <v>21</v>
      </c>
      <c r="G24" s="66">
        <v>1952077</v>
      </c>
      <c r="H24" s="68">
        <v>0</v>
      </c>
      <c r="I24" s="10">
        <f>+G24-H24</f>
        <v>1952077</v>
      </c>
    </row>
    <row r="25" spans="1:9" ht="15.75">
      <c r="A25" s="44"/>
      <c r="B25" s="44"/>
      <c r="C25" s="51"/>
      <c r="D25" s="44"/>
      <c r="E25" s="44"/>
      <c r="F25" s="65"/>
      <c r="G25" s="67"/>
      <c r="H25" s="69"/>
      <c r="I25" s="9"/>
    </row>
    <row r="26" spans="1:9" ht="16.5" thickBot="1">
      <c r="A26" s="44">
        <v>2</v>
      </c>
      <c r="B26" s="44">
        <v>1</v>
      </c>
      <c r="C26" s="51">
        <v>1</v>
      </c>
      <c r="D26" s="44">
        <v>5</v>
      </c>
      <c r="E26" s="52"/>
      <c r="F26" s="63" t="s">
        <v>22</v>
      </c>
      <c r="G26" s="70">
        <f>G27+G30</f>
        <v>0</v>
      </c>
      <c r="H26" s="70">
        <f>H27+H30+H28+H29</f>
        <v>81734</v>
      </c>
      <c r="I26" s="70">
        <f>I27+I30+I28+I29</f>
        <v>-81734</v>
      </c>
    </row>
    <row r="27" spans="1:9" ht="15.75">
      <c r="A27" s="44">
        <v>2</v>
      </c>
      <c r="B27" s="44">
        <v>1</v>
      </c>
      <c r="C27" s="51">
        <v>1</v>
      </c>
      <c r="D27" s="44">
        <v>5</v>
      </c>
      <c r="E27" s="44">
        <v>1</v>
      </c>
      <c r="F27" s="65" t="s">
        <v>22</v>
      </c>
      <c r="G27" s="67"/>
      <c r="H27" s="68">
        <v>0</v>
      </c>
      <c r="I27" s="9">
        <f>+G27-H27</f>
        <v>0</v>
      </c>
    </row>
    <row r="28" spans="1:9" ht="31.5">
      <c r="A28" s="44">
        <v>2</v>
      </c>
      <c r="B28" s="44">
        <v>1</v>
      </c>
      <c r="C28" s="51">
        <v>1</v>
      </c>
      <c r="D28" s="44">
        <v>5</v>
      </c>
      <c r="E28" s="44">
        <v>2</v>
      </c>
      <c r="F28" s="65" t="s">
        <v>23</v>
      </c>
      <c r="G28" s="67"/>
      <c r="H28" s="69">
        <v>0</v>
      </c>
      <c r="I28" s="9">
        <f>+G28-H28</f>
        <v>0</v>
      </c>
    </row>
    <row r="29" spans="1:9" ht="15.75">
      <c r="A29" s="44">
        <v>2</v>
      </c>
      <c r="B29" s="44">
        <v>1</v>
      </c>
      <c r="C29" s="51">
        <v>1</v>
      </c>
      <c r="D29" s="44">
        <v>5</v>
      </c>
      <c r="E29" s="44">
        <v>3</v>
      </c>
      <c r="F29" s="65" t="s">
        <v>24</v>
      </c>
      <c r="G29" s="67"/>
      <c r="H29" s="69">
        <v>81734</v>
      </c>
      <c r="I29" s="9">
        <f>+G29-H29</f>
        <v>-81734</v>
      </c>
    </row>
    <row r="30" spans="1:9" ht="15.75">
      <c r="A30" s="44">
        <v>2</v>
      </c>
      <c r="B30" s="44">
        <v>1</v>
      </c>
      <c r="C30" s="51">
        <v>1</v>
      </c>
      <c r="D30" s="44">
        <v>5</v>
      </c>
      <c r="E30" s="44">
        <v>4</v>
      </c>
      <c r="F30" s="65" t="s">
        <v>25</v>
      </c>
      <c r="G30" s="67"/>
      <c r="H30" s="69"/>
      <c r="I30" s="9"/>
    </row>
    <row r="31" spans="1:9" ht="15.75">
      <c r="A31" s="44"/>
      <c r="B31" s="44"/>
      <c r="C31" s="51"/>
      <c r="D31" s="44"/>
      <c r="E31" s="44"/>
      <c r="F31" s="65"/>
      <c r="G31" s="67"/>
      <c r="H31" s="69"/>
      <c r="I31" s="9"/>
    </row>
    <row r="32" spans="1:9" ht="15.75">
      <c r="A32" s="44">
        <v>2</v>
      </c>
      <c r="B32" s="44">
        <v>1</v>
      </c>
      <c r="C32" s="51">
        <v>2</v>
      </c>
      <c r="D32" s="44"/>
      <c r="E32" s="44"/>
      <c r="F32" s="86" t="s">
        <v>26</v>
      </c>
      <c r="G32" s="150">
        <f>G33</f>
        <v>4734631</v>
      </c>
      <c r="H32" s="151">
        <f>H33</f>
        <v>185000</v>
      </c>
      <c r="I32" s="151">
        <f>I33</f>
        <v>4549631</v>
      </c>
    </row>
    <row r="33" spans="1:9" ht="16.5" thickBot="1">
      <c r="A33" s="44">
        <v>2</v>
      </c>
      <c r="B33" s="44">
        <v>1</v>
      </c>
      <c r="C33" s="44">
        <v>2</v>
      </c>
      <c r="D33" s="44">
        <v>2</v>
      </c>
      <c r="E33" s="44"/>
      <c r="F33" s="63" t="s">
        <v>27</v>
      </c>
      <c r="G33" s="54">
        <f>+G35+G36+G37+G39</f>
        <v>4734631</v>
      </c>
      <c r="H33" s="54">
        <f>+H35+H36+H37+H39</f>
        <v>185000</v>
      </c>
      <c r="I33" s="54">
        <f>+I35+I36+I37+I39</f>
        <v>4549631</v>
      </c>
    </row>
    <row r="34" spans="1:9" ht="31.5">
      <c r="A34" s="44">
        <v>2</v>
      </c>
      <c r="B34" s="44">
        <v>1</v>
      </c>
      <c r="C34" s="44">
        <v>2</v>
      </c>
      <c r="D34" s="44">
        <v>2</v>
      </c>
      <c r="E34" s="44">
        <v>2</v>
      </c>
      <c r="F34" s="63" t="s">
        <v>28</v>
      </c>
      <c r="G34" s="83"/>
      <c r="H34" s="55">
        <v>0</v>
      </c>
      <c r="I34" s="5">
        <v>0</v>
      </c>
    </row>
    <row r="35" spans="1:9" ht="15.75">
      <c r="A35" s="44">
        <v>2</v>
      </c>
      <c r="B35" s="44">
        <v>1</v>
      </c>
      <c r="C35" s="44">
        <v>2</v>
      </c>
      <c r="D35" s="44">
        <v>2</v>
      </c>
      <c r="E35" s="44">
        <v>4</v>
      </c>
      <c r="F35" s="65" t="s">
        <v>29</v>
      </c>
      <c r="G35" s="67">
        <v>0</v>
      </c>
      <c r="H35" s="69">
        <v>0</v>
      </c>
      <c r="I35" s="9">
        <f>+G35-H35</f>
        <v>0</v>
      </c>
    </row>
    <row r="36" spans="1:9" ht="15.75">
      <c r="A36" s="44">
        <v>2</v>
      </c>
      <c r="B36" s="44">
        <v>1</v>
      </c>
      <c r="C36" s="44">
        <v>2</v>
      </c>
      <c r="D36" s="44">
        <v>2</v>
      </c>
      <c r="E36" s="44">
        <v>10</v>
      </c>
      <c r="F36" s="65" t="s">
        <v>149</v>
      </c>
      <c r="G36" s="67">
        <v>1208077</v>
      </c>
      <c r="H36" s="69"/>
      <c r="I36" s="9">
        <f>+G36-H36</f>
        <v>1208077</v>
      </c>
    </row>
    <row r="37" spans="1:9" ht="15.75">
      <c r="A37" s="44">
        <v>2</v>
      </c>
      <c r="B37" s="44">
        <v>1</v>
      </c>
      <c r="C37" s="44">
        <v>2</v>
      </c>
      <c r="D37" s="44">
        <v>2</v>
      </c>
      <c r="E37" s="44">
        <v>15</v>
      </c>
      <c r="F37" s="65" t="s">
        <v>30</v>
      </c>
      <c r="G37" s="67">
        <v>1842577</v>
      </c>
      <c r="H37" s="69"/>
      <c r="I37" s="9">
        <f>+G37-H37</f>
        <v>1842577</v>
      </c>
    </row>
    <row r="38" spans="1:9" ht="16.5" thickBot="1">
      <c r="A38" s="44"/>
      <c r="B38" s="44"/>
      <c r="C38" s="51"/>
      <c r="D38" s="44"/>
      <c r="E38" s="44"/>
      <c r="F38" s="65"/>
      <c r="G38" s="67"/>
      <c r="H38" s="69"/>
      <c r="I38" s="9"/>
    </row>
    <row r="39" spans="1:9" ht="16.5" thickBot="1">
      <c r="A39" s="44">
        <v>2</v>
      </c>
      <c r="B39" s="44">
        <v>1</v>
      </c>
      <c r="C39" s="51">
        <v>3</v>
      </c>
      <c r="D39" s="44">
        <v>7</v>
      </c>
      <c r="E39" s="44"/>
      <c r="F39" s="86" t="s">
        <v>150</v>
      </c>
      <c r="G39" s="71">
        <f>+G40+G41</f>
        <v>1683977</v>
      </c>
      <c r="H39" s="71">
        <f>+H40+H41</f>
        <v>185000</v>
      </c>
      <c r="I39" s="71">
        <f>+I40+I41</f>
        <v>1498977</v>
      </c>
    </row>
    <row r="40" spans="1:9" ht="15.75">
      <c r="A40" s="44">
        <v>2</v>
      </c>
      <c r="B40" s="44">
        <v>1</v>
      </c>
      <c r="C40" s="51">
        <v>3</v>
      </c>
      <c r="D40" s="44">
        <v>7</v>
      </c>
      <c r="E40" s="44">
        <v>2</v>
      </c>
      <c r="F40" s="65" t="s">
        <v>151</v>
      </c>
      <c r="G40" s="67">
        <v>130000</v>
      </c>
      <c r="H40" s="69"/>
      <c r="I40" s="9">
        <f>+G40-H40</f>
        <v>130000</v>
      </c>
    </row>
    <row r="41" spans="1:9" ht="15.75">
      <c r="A41" s="44">
        <v>2</v>
      </c>
      <c r="B41" s="44">
        <v>1</v>
      </c>
      <c r="C41" s="51">
        <v>3</v>
      </c>
      <c r="D41" s="44">
        <v>7</v>
      </c>
      <c r="E41" s="44">
        <v>4</v>
      </c>
      <c r="F41" s="65" t="s">
        <v>152</v>
      </c>
      <c r="G41" s="67">
        <v>1553977</v>
      </c>
      <c r="H41" s="69">
        <v>185000</v>
      </c>
      <c r="I41" s="9">
        <f>+G41-H41</f>
        <v>1368977</v>
      </c>
    </row>
    <row r="42" spans="1:9" ht="15.75">
      <c r="A42" s="44"/>
      <c r="B42" s="44"/>
      <c r="C42" s="51"/>
      <c r="D42" s="44"/>
      <c r="E42" s="44"/>
      <c r="F42" s="65"/>
      <c r="G42" s="67"/>
      <c r="H42" s="69"/>
      <c r="I42" s="9"/>
    </row>
    <row r="43" spans="1:9" s="11" customFormat="1" ht="16.5" thickBot="1">
      <c r="A43" s="44">
        <v>2</v>
      </c>
      <c r="B43" s="44">
        <v>1</v>
      </c>
      <c r="C43" s="51">
        <v>3</v>
      </c>
      <c r="D43" s="44"/>
      <c r="E43" s="44"/>
      <c r="F43" s="63" t="s">
        <v>31</v>
      </c>
      <c r="G43" s="67"/>
      <c r="H43" s="69"/>
      <c r="I43" s="5">
        <f>SUM(I44:I46)</f>
        <v>0</v>
      </c>
    </row>
    <row r="44" spans="1:9" ht="16.5" thickBot="1">
      <c r="A44" s="44">
        <v>2</v>
      </c>
      <c r="B44" s="44">
        <v>1</v>
      </c>
      <c r="C44" s="51">
        <v>3</v>
      </c>
      <c r="D44" s="44">
        <v>1</v>
      </c>
      <c r="E44" s="52"/>
      <c r="F44" s="63" t="s">
        <v>32</v>
      </c>
      <c r="G44" s="56">
        <f>G45+G46</f>
        <v>0</v>
      </c>
      <c r="H44" s="57">
        <f>H45+H46</f>
        <v>0</v>
      </c>
      <c r="I44" s="57">
        <f>I45+I46</f>
        <v>0</v>
      </c>
    </row>
    <row r="45" spans="1:9" ht="15.75">
      <c r="A45" s="44">
        <v>2</v>
      </c>
      <c r="B45" s="44">
        <v>1</v>
      </c>
      <c r="C45" s="51">
        <v>3</v>
      </c>
      <c r="D45" s="44">
        <v>1</v>
      </c>
      <c r="E45" s="44">
        <v>1</v>
      </c>
      <c r="F45" s="65" t="s">
        <v>33</v>
      </c>
      <c r="G45" s="66"/>
      <c r="H45" s="69">
        <f>G45*12</f>
        <v>0</v>
      </c>
      <c r="I45" s="9">
        <f>+G45-H45</f>
        <v>0</v>
      </c>
    </row>
    <row r="46" spans="1:9" ht="15.75">
      <c r="A46" s="44">
        <v>2</v>
      </c>
      <c r="B46" s="44">
        <v>1</v>
      </c>
      <c r="C46" s="51">
        <v>3</v>
      </c>
      <c r="D46" s="44">
        <v>1</v>
      </c>
      <c r="E46" s="44">
        <v>2</v>
      </c>
      <c r="F46" s="65" t="s">
        <v>34</v>
      </c>
      <c r="G46" s="67"/>
      <c r="H46" s="69">
        <f>G46*12</f>
        <v>0</v>
      </c>
      <c r="I46" s="9">
        <f>+G46-H47</f>
        <v>0</v>
      </c>
    </row>
    <row r="47" spans="1:9" ht="15.75">
      <c r="A47" s="44"/>
      <c r="B47" s="44"/>
      <c r="C47" s="51"/>
      <c r="D47" s="44"/>
      <c r="E47" s="44"/>
      <c r="F47" s="65"/>
      <c r="G47" s="67"/>
      <c r="H47" s="69"/>
      <c r="I47" s="9">
        <f>+G47-H47</f>
        <v>0</v>
      </c>
    </row>
    <row r="48" spans="1:9" ht="32.25" thickBot="1">
      <c r="A48" s="44">
        <v>2</v>
      </c>
      <c r="B48" s="73">
        <v>1</v>
      </c>
      <c r="C48" s="74">
        <v>5</v>
      </c>
      <c r="D48" s="52"/>
      <c r="E48" s="52"/>
      <c r="F48" s="63" t="s">
        <v>35</v>
      </c>
      <c r="G48" s="54">
        <f>SUM(G49:G51)</f>
        <v>3365494</v>
      </c>
      <c r="H48" s="55">
        <f>SUM(H49:H51)</f>
        <v>274979.5</v>
      </c>
      <c r="I48" s="55">
        <f>SUM(I49:I51)</f>
        <v>3090514.5</v>
      </c>
    </row>
    <row r="49" spans="1:9" ht="15.75">
      <c r="A49" s="44">
        <v>2</v>
      </c>
      <c r="B49" s="44">
        <v>1</v>
      </c>
      <c r="C49" s="51">
        <v>5</v>
      </c>
      <c r="D49" s="44">
        <v>1</v>
      </c>
      <c r="E49" s="44"/>
      <c r="F49" s="58" t="s">
        <v>36</v>
      </c>
      <c r="G49" s="66">
        <v>1543459</v>
      </c>
      <c r="H49" s="68">
        <v>126042.25</v>
      </c>
      <c r="I49" s="68">
        <f>+G49-H49</f>
        <v>1417416.75</v>
      </c>
    </row>
    <row r="50" spans="1:9" ht="15.75">
      <c r="A50" s="44">
        <v>2</v>
      </c>
      <c r="B50" s="44">
        <v>1</v>
      </c>
      <c r="C50" s="51">
        <v>5</v>
      </c>
      <c r="D50" s="44">
        <v>2</v>
      </c>
      <c r="E50" s="44"/>
      <c r="F50" s="58" t="s">
        <v>37</v>
      </c>
      <c r="G50" s="67">
        <v>1663170</v>
      </c>
      <c r="H50" s="69">
        <v>136014.48000000001</v>
      </c>
      <c r="I50" s="69">
        <f>+G50-H50</f>
        <v>1527155.52</v>
      </c>
    </row>
    <row r="51" spans="1:9" ht="15.75">
      <c r="A51" s="44">
        <v>2</v>
      </c>
      <c r="B51" s="44">
        <v>1</v>
      </c>
      <c r="C51" s="51">
        <v>5</v>
      </c>
      <c r="D51" s="44">
        <v>3</v>
      </c>
      <c r="E51" s="44"/>
      <c r="F51" s="65" t="s">
        <v>38</v>
      </c>
      <c r="G51" s="67">
        <v>158865</v>
      </c>
      <c r="H51" s="69">
        <v>12922.77</v>
      </c>
      <c r="I51" s="69">
        <f>+G51-H51</f>
        <v>145942.23000000001</v>
      </c>
    </row>
    <row r="52" spans="1:9" ht="15.75">
      <c r="A52" s="44"/>
      <c r="B52" s="44"/>
      <c r="C52" s="51"/>
      <c r="D52" s="44"/>
      <c r="E52" s="44"/>
      <c r="F52" s="65"/>
      <c r="G52" s="67"/>
      <c r="H52" s="69"/>
      <c r="I52" s="69"/>
    </row>
    <row r="53" spans="1:9" ht="16.5" thickBot="1">
      <c r="A53" s="44">
        <v>2</v>
      </c>
      <c r="B53" s="44">
        <v>2</v>
      </c>
      <c r="C53" s="51"/>
      <c r="D53" s="44"/>
      <c r="E53" s="52"/>
      <c r="F53" s="53" t="s">
        <v>39</v>
      </c>
      <c r="G53" s="54">
        <f>G54+G62+G66+G70+G74+G86+G94+G82+G110</f>
        <v>19955541</v>
      </c>
      <c r="H53" s="64">
        <f>H54+H62+H66+H70+H74+H86+H94+H82+H110</f>
        <v>2925896.66</v>
      </c>
      <c r="I53" s="64">
        <f>I54+I62+I66+I70+I74+I86+I94+I82+I110</f>
        <v>17029644.34</v>
      </c>
    </row>
    <row r="54" spans="1:9" ht="16.5" thickBot="1">
      <c r="A54" s="44">
        <v>2</v>
      </c>
      <c r="B54" s="44">
        <v>2</v>
      </c>
      <c r="C54" s="51">
        <v>1</v>
      </c>
      <c r="D54" s="44"/>
      <c r="E54" s="52"/>
      <c r="F54" s="53" t="s">
        <v>40</v>
      </c>
      <c r="G54" s="71">
        <f>G55+G56+G57+G59</f>
        <v>2534355</v>
      </c>
      <c r="H54" s="55">
        <f>H55+H56+H57+H59</f>
        <v>138110.23000000001</v>
      </c>
      <c r="I54" s="55">
        <f>I55+I56+I57+I59</f>
        <v>2396244.77</v>
      </c>
    </row>
    <row r="55" spans="1:9" ht="15.75">
      <c r="A55" s="44">
        <v>2</v>
      </c>
      <c r="B55" s="44">
        <v>2</v>
      </c>
      <c r="C55" s="51">
        <v>1</v>
      </c>
      <c r="D55" s="44">
        <v>3</v>
      </c>
      <c r="E55" s="44"/>
      <c r="F55" s="58" t="s">
        <v>41</v>
      </c>
      <c r="G55" s="66">
        <v>306000</v>
      </c>
      <c r="H55" s="68">
        <f>22419.33+22224.9+2041+31889</f>
        <v>78574.23000000001</v>
      </c>
      <c r="I55" s="68">
        <f>+G55-H55</f>
        <v>227425.77</v>
      </c>
    </row>
    <row r="56" spans="1:9" ht="15.75">
      <c r="A56" s="44">
        <v>2</v>
      </c>
      <c r="B56" s="44">
        <v>2</v>
      </c>
      <c r="C56" s="51">
        <v>1</v>
      </c>
      <c r="D56" s="44">
        <v>4</v>
      </c>
      <c r="E56" s="44"/>
      <c r="F56" s="58" t="s">
        <v>42</v>
      </c>
      <c r="G56" s="67">
        <v>276000</v>
      </c>
      <c r="H56" s="69"/>
      <c r="I56" s="69">
        <f>+G56-H56</f>
        <v>276000</v>
      </c>
    </row>
    <row r="57" spans="1:9" ht="15.75">
      <c r="A57" s="44">
        <v>2</v>
      </c>
      <c r="B57" s="44">
        <v>2</v>
      </c>
      <c r="C57" s="51">
        <v>1</v>
      </c>
      <c r="D57" s="44">
        <v>5</v>
      </c>
      <c r="E57" s="44"/>
      <c r="F57" s="58" t="s">
        <v>43</v>
      </c>
      <c r="G57" s="67">
        <v>992355</v>
      </c>
      <c r="H57" s="69"/>
      <c r="I57" s="69">
        <f>+G57-H57</f>
        <v>992355</v>
      </c>
    </row>
    <row r="58" spans="1:9" ht="15.75">
      <c r="A58" s="44"/>
      <c r="B58" s="44"/>
      <c r="C58" s="51"/>
      <c r="D58" s="44"/>
      <c r="E58" s="44"/>
      <c r="F58" s="58"/>
      <c r="G58" s="67"/>
      <c r="H58" s="69"/>
      <c r="I58" s="69"/>
    </row>
    <row r="59" spans="1:9" ht="16.5" thickBot="1">
      <c r="A59" s="44">
        <v>2</v>
      </c>
      <c r="B59" s="44">
        <v>2</v>
      </c>
      <c r="C59" s="51">
        <v>1</v>
      </c>
      <c r="D59" s="44">
        <v>6</v>
      </c>
      <c r="E59" s="44"/>
      <c r="F59" s="63" t="s">
        <v>44</v>
      </c>
      <c r="G59" s="54">
        <f>G60</f>
        <v>960000</v>
      </c>
      <c r="H59" s="75">
        <f>H60</f>
        <v>59536</v>
      </c>
      <c r="I59" s="75">
        <f>I60</f>
        <v>900464</v>
      </c>
    </row>
    <row r="60" spans="1:9" ht="15.75">
      <c r="A60" s="44">
        <v>2</v>
      </c>
      <c r="B60" s="44">
        <v>2</v>
      </c>
      <c r="C60" s="51">
        <v>1</v>
      </c>
      <c r="D60" s="44">
        <v>6</v>
      </c>
      <c r="E60" s="44">
        <v>1</v>
      </c>
      <c r="F60" s="58" t="s">
        <v>45</v>
      </c>
      <c r="G60" s="66">
        <v>960000</v>
      </c>
      <c r="H60" s="69">
        <v>59536</v>
      </c>
      <c r="I60" s="69">
        <f>+G60-H60</f>
        <v>900464</v>
      </c>
    </row>
    <row r="61" spans="1:9" ht="15.75">
      <c r="A61" s="44"/>
      <c r="B61" s="44"/>
      <c r="C61" s="51"/>
      <c r="D61" s="44"/>
      <c r="E61" s="44"/>
      <c r="F61" s="58"/>
      <c r="G61" s="67"/>
      <c r="H61" s="69"/>
      <c r="I61" s="69"/>
    </row>
    <row r="62" spans="1:9" ht="32.25" thickBot="1">
      <c r="A62" s="44">
        <v>2</v>
      </c>
      <c r="B62" s="44">
        <v>2</v>
      </c>
      <c r="C62" s="51">
        <v>2</v>
      </c>
      <c r="D62" s="44"/>
      <c r="E62" s="44"/>
      <c r="F62" s="63" t="s">
        <v>46</v>
      </c>
      <c r="G62" s="54">
        <f>SUM(G63:G64)</f>
        <v>468493</v>
      </c>
      <c r="H62" s="55">
        <f>H63+H64</f>
        <v>3100</v>
      </c>
      <c r="I62" s="55">
        <f>I63+I64</f>
        <v>465393</v>
      </c>
    </row>
    <row r="63" spans="1:9" ht="15.75">
      <c r="A63" s="44">
        <v>2</v>
      </c>
      <c r="B63" s="44">
        <v>2</v>
      </c>
      <c r="C63" s="51">
        <v>2</v>
      </c>
      <c r="D63" s="44">
        <v>1</v>
      </c>
      <c r="E63" s="44"/>
      <c r="F63" s="65" t="s">
        <v>47</v>
      </c>
      <c r="G63" s="66">
        <v>436493</v>
      </c>
      <c r="H63" s="68">
        <v>3100</v>
      </c>
      <c r="I63" s="68">
        <f>+G63-H63</f>
        <v>433393</v>
      </c>
    </row>
    <row r="64" spans="1:9" ht="15.75">
      <c r="A64" s="44">
        <v>2</v>
      </c>
      <c r="B64" s="44">
        <v>2</v>
      </c>
      <c r="C64" s="51">
        <v>2</v>
      </c>
      <c r="D64" s="44">
        <v>2</v>
      </c>
      <c r="E64" s="44"/>
      <c r="F64" s="65" t="s">
        <v>48</v>
      </c>
      <c r="G64" s="67">
        <v>32000</v>
      </c>
      <c r="H64" s="69"/>
      <c r="I64" s="69">
        <f>+G64-H64</f>
        <v>32000</v>
      </c>
    </row>
    <row r="65" spans="1:9" ht="15.75">
      <c r="A65" s="44"/>
      <c r="B65" s="44"/>
      <c r="C65" s="51"/>
      <c r="D65" s="44"/>
      <c r="E65" s="44"/>
      <c r="F65" s="58"/>
      <c r="G65" s="67"/>
      <c r="H65" s="69"/>
      <c r="I65" s="69"/>
    </row>
    <row r="66" spans="1:9" ht="16.5" thickBot="1">
      <c r="A66" s="44">
        <v>2</v>
      </c>
      <c r="B66" s="44">
        <v>2</v>
      </c>
      <c r="C66" s="51">
        <v>3</v>
      </c>
      <c r="D66" s="44"/>
      <c r="E66" s="44"/>
      <c r="F66" s="63" t="s">
        <v>49</v>
      </c>
      <c r="G66" s="54">
        <f>G67+G68</f>
        <v>189190</v>
      </c>
      <c r="H66" s="64">
        <f>H67+H68</f>
        <v>1600</v>
      </c>
      <c r="I66" s="64">
        <f>I67+I68</f>
        <v>187590</v>
      </c>
    </row>
    <row r="67" spans="1:9" ht="15.75">
      <c r="A67" s="44">
        <v>2</v>
      </c>
      <c r="B67" s="44">
        <v>2</v>
      </c>
      <c r="C67" s="51">
        <v>3</v>
      </c>
      <c r="D67" s="44">
        <v>1</v>
      </c>
      <c r="E67" s="77"/>
      <c r="F67" s="65" t="s">
        <v>50</v>
      </c>
      <c r="G67" s="66">
        <v>150000</v>
      </c>
      <c r="H67" s="60">
        <f>800+800</f>
        <v>1600</v>
      </c>
      <c r="I67" s="60">
        <f>+G67-H67</f>
        <v>148400</v>
      </c>
    </row>
    <row r="68" spans="1:9" ht="15.75">
      <c r="A68" s="44">
        <v>2</v>
      </c>
      <c r="B68" s="44">
        <v>2</v>
      </c>
      <c r="C68" s="51">
        <v>3</v>
      </c>
      <c r="D68" s="44">
        <v>2</v>
      </c>
      <c r="E68" s="77"/>
      <c r="F68" s="65" t="s">
        <v>51</v>
      </c>
      <c r="G68" s="67">
        <v>39190</v>
      </c>
      <c r="H68" s="69"/>
      <c r="I68" s="69">
        <f>+G68-H68</f>
        <v>39190</v>
      </c>
    </row>
    <row r="69" spans="1:9" ht="15.75">
      <c r="A69" s="44"/>
      <c r="B69" s="44"/>
      <c r="C69" s="51"/>
      <c r="D69" s="44"/>
      <c r="E69" s="44"/>
      <c r="F69" s="65"/>
      <c r="G69" s="67"/>
      <c r="H69" s="69"/>
      <c r="I69" s="69"/>
    </row>
    <row r="70" spans="1:9" ht="16.5" thickBot="1">
      <c r="A70" s="44">
        <v>2</v>
      </c>
      <c r="B70" s="44">
        <v>2</v>
      </c>
      <c r="C70" s="51">
        <v>4</v>
      </c>
      <c r="D70" s="44"/>
      <c r="E70" s="44"/>
      <c r="F70" s="63" t="s">
        <v>52</v>
      </c>
      <c r="G70" s="54">
        <f>G71+G72</f>
        <v>309000</v>
      </c>
      <c r="H70" s="64">
        <f>H71+H72</f>
        <v>3350</v>
      </c>
      <c r="I70" s="64">
        <f>I71+I72</f>
        <v>305650</v>
      </c>
    </row>
    <row r="71" spans="1:9" ht="15.75">
      <c r="A71" s="44">
        <v>2</v>
      </c>
      <c r="B71" s="44">
        <v>2</v>
      </c>
      <c r="C71" s="51">
        <v>4</v>
      </c>
      <c r="D71" s="44">
        <v>1</v>
      </c>
      <c r="E71" s="44"/>
      <c r="F71" s="65" t="s">
        <v>53</v>
      </c>
      <c r="G71" s="66">
        <v>309000</v>
      </c>
      <c r="H71" s="69">
        <f>50+100+100+100+3000</f>
        <v>3350</v>
      </c>
      <c r="I71" s="69">
        <f>+G71-H71</f>
        <v>305650</v>
      </c>
    </row>
    <row r="72" spans="1:9" ht="15.75">
      <c r="A72" s="44">
        <v>2</v>
      </c>
      <c r="B72" s="44">
        <v>2</v>
      </c>
      <c r="C72" s="51">
        <v>4</v>
      </c>
      <c r="D72" s="44">
        <v>3</v>
      </c>
      <c r="E72" s="44"/>
      <c r="F72" s="65" t="s">
        <v>54</v>
      </c>
      <c r="G72" s="67"/>
      <c r="H72" s="69"/>
      <c r="I72" s="69"/>
    </row>
    <row r="73" spans="1:9" ht="15.75">
      <c r="A73" s="44"/>
      <c r="B73" s="44"/>
      <c r="C73" s="51"/>
      <c r="D73" s="44"/>
      <c r="E73" s="44"/>
      <c r="F73" s="65"/>
      <c r="G73" s="67"/>
      <c r="H73" s="69"/>
      <c r="I73" s="69"/>
    </row>
    <row r="74" spans="1:9" ht="16.5" thickBot="1">
      <c r="A74" s="44">
        <v>2</v>
      </c>
      <c r="B74" s="44">
        <v>2</v>
      </c>
      <c r="C74" s="51">
        <v>5</v>
      </c>
      <c r="D74" s="44"/>
      <c r="E74" s="44"/>
      <c r="F74" s="63" t="s">
        <v>55</v>
      </c>
      <c r="G74" s="54">
        <f>G75+G80</f>
        <v>10769766</v>
      </c>
      <c r="H74" s="55">
        <f>H77+H75</f>
        <v>852057</v>
      </c>
      <c r="I74" s="55">
        <f>I77+I75</f>
        <v>9917709</v>
      </c>
    </row>
    <row r="75" spans="1:9" ht="15.75">
      <c r="A75" s="44">
        <v>2</v>
      </c>
      <c r="B75" s="44">
        <v>2</v>
      </c>
      <c r="C75" s="51">
        <v>5</v>
      </c>
      <c r="D75" s="44">
        <v>1</v>
      </c>
      <c r="E75" s="44"/>
      <c r="F75" s="58" t="s">
        <v>56</v>
      </c>
      <c r="G75" s="66">
        <v>10423558</v>
      </c>
      <c r="H75" s="68">
        <v>843797</v>
      </c>
      <c r="I75" s="68">
        <f>+G75-H75</f>
        <v>9579761</v>
      </c>
    </row>
    <row r="76" spans="1:9" ht="15.75">
      <c r="A76" s="44"/>
      <c r="B76" s="44"/>
      <c r="C76" s="51"/>
      <c r="D76" s="44"/>
      <c r="E76" s="77"/>
      <c r="F76" s="65"/>
      <c r="G76" s="67"/>
      <c r="H76" s="69"/>
      <c r="I76" s="69"/>
    </row>
    <row r="77" spans="1:9" ht="16.5" thickBot="1">
      <c r="A77" s="44">
        <v>2</v>
      </c>
      <c r="B77" s="44">
        <v>2</v>
      </c>
      <c r="C77" s="51">
        <v>5</v>
      </c>
      <c r="D77" s="44">
        <v>3</v>
      </c>
      <c r="E77" s="52"/>
      <c r="F77" s="63" t="s">
        <v>57</v>
      </c>
      <c r="G77" s="54">
        <f>G78+G79+G80</f>
        <v>346208</v>
      </c>
      <c r="H77" s="64">
        <f>H78+H79+H80</f>
        <v>8260</v>
      </c>
      <c r="I77" s="64">
        <f>I78+I79+I80</f>
        <v>337948</v>
      </c>
    </row>
    <row r="78" spans="1:9" ht="15.75">
      <c r="A78" s="44">
        <v>2</v>
      </c>
      <c r="B78" s="44">
        <v>2</v>
      </c>
      <c r="C78" s="51">
        <v>5</v>
      </c>
      <c r="D78" s="44">
        <v>3</v>
      </c>
      <c r="E78" s="44">
        <v>2</v>
      </c>
      <c r="F78" s="58" t="s">
        <v>58</v>
      </c>
      <c r="G78" s="66"/>
      <c r="H78" s="69">
        <v>0</v>
      </c>
      <c r="I78" s="69">
        <f>+G78-H78</f>
        <v>0</v>
      </c>
    </row>
    <row r="79" spans="1:9" s="12" customFormat="1" ht="15.75">
      <c r="A79" s="44">
        <v>2</v>
      </c>
      <c r="B79" s="44">
        <v>2</v>
      </c>
      <c r="C79" s="51">
        <v>5</v>
      </c>
      <c r="D79" s="44">
        <v>3</v>
      </c>
      <c r="E79" s="44">
        <v>3</v>
      </c>
      <c r="F79" s="58" t="s">
        <v>59</v>
      </c>
      <c r="G79" s="67"/>
      <c r="H79" s="69"/>
      <c r="I79" s="69">
        <f>+G79-H79</f>
        <v>0</v>
      </c>
    </row>
    <row r="80" spans="1:9" ht="15.75">
      <c r="A80" s="44">
        <v>2</v>
      </c>
      <c r="B80" s="44">
        <v>2</v>
      </c>
      <c r="C80" s="51">
        <v>5</v>
      </c>
      <c r="D80" s="44">
        <v>3</v>
      </c>
      <c r="E80" s="44">
        <v>4</v>
      </c>
      <c r="F80" s="58" t="s">
        <v>60</v>
      </c>
      <c r="G80" s="67">
        <v>346208</v>
      </c>
      <c r="H80" s="69">
        <v>8260</v>
      </c>
      <c r="I80" s="69">
        <f>+G80-H80</f>
        <v>337948</v>
      </c>
    </row>
    <row r="81" spans="1:9" ht="16.5" thickBot="1">
      <c r="A81" s="44"/>
      <c r="B81" s="44"/>
      <c r="C81" s="51"/>
      <c r="D81" s="44"/>
      <c r="E81" s="44"/>
      <c r="F81" s="58"/>
      <c r="G81" s="67"/>
      <c r="H81" s="69"/>
      <c r="I81" s="69"/>
    </row>
    <row r="82" spans="1:9" ht="16.5" thickBot="1">
      <c r="A82" s="44">
        <v>2</v>
      </c>
      <c r="B82" s="44">
        <v>2</v>
      </c>
      <c r="C82" s="51">
        <v>6</v>
      </c>
      <c r="D82" s="44"/>
      <c r="E82" s="44"/>
      <c r="F82" s="58" t="s">
        <v>61</v>
      </c>
      <c r="G82" s="71">
        <f>G84+G83</f>
        <v>1955017</v>
      </c>
      <c r="H82" s="72">
        <f>H84+H83</f>
        <v>125469</v>
      </c>
      <c r="I82" s="72">
        <f>I84+I83</f>
        <v>1829548</v>
      </c>
    </row>
    <row r="83" spans="1:9" ht="16.5" thickBot="1">
      <c r="A83" s="78">
        <v>2</v>
      </c>
      <c r="B83" s="78">
        <v>2</v>
      </c>
      <c r="C83" s="79">
        <v>6</v>
      </c>
      <c r="D83" s="78">
        <v>2</v>
      </c>
      <c r="E83" s="78">
        <v>1</v>
      </c>
      <c r="F83" s="80" t="s">
        <v>62</v>
      </c>
      <c r="G83" s="81">
        <v>203017</v>
      </c>
      <c r="H83" s="81"/>
      <c r="I83" s="81">
        <v>203017</v>
      </c>
    </row>
    <row r="84" spans="1:9" ht="15.75">
      <c r="A84" s="44">
        <v>2</v>
      </c>
      <c r="B84" s="44">
        <v>2</v>
      </c>
      <c r="C84" s="51">
        <v>6</v>
      </c>
      <c r="D84" s="44">
        <v>3</v>
      </c>
      <c r="E84" s="44">
        <v>1</v>
      </c>
      <c r="F84" s="58" t="s">
        <v>63</v>
      </c>
      <c r="G84" s="67">
        <v>1752000</v>
      </c>
      <c r="H84" s="69">
        <v>125469</v>
      </c>
      <c r="I84" s="69">
        <f>+G84-H84</f>
        <v>1626531</v>
      </c>
    </row>
    <row r="85" spans="1:9" ht="15.75">
      <c r="A85" s="44"/>
      <c r="B85" s="44"/>
      <c r="C85" s="51"/>
      <c r="D85" s="44"/>
      <c r="E85" s="44"/>
      <c r="F85" s="58"/>
      <c r="G85" s="67"/>
      <c r="H85" s="69">
        <v>0</v>
      </c>
      <c r="I85" s="69">
        <v>0</v>
      </c>
    </row>
    <row r="86" spans="1:9" ht="32.25" thickBot="1">
      <c r="A86" s="44">
        <v>2</v>
      </c>
      <c r="B86" s="44">
        <v>2</v>
      </c>
      <c r="C86" s="51">
        <v>7</v>
      </c>
      <c r="D86" s="44"/>
      <c r="E86" s="52"/>
      <c r="F86" s="63" t="s">
        <v>64</v>
      </c>
      <c r="G86" s="83">
        <f>G87</f>
        <v>370000</v>
      </c>
      <c r="H86" s="55">
        <f>SUM(H88:H92)</f>
        <v>2600</v>
      </c>
      <c r="I86" s="55">
        <f>SUM(I88:I92)</f>
        <v>367400</v>
      </c>
    </row>
    <row r="87" spans="1:9" ht="16.5" thickBot="1">
      <c r="A87" s="44">
        <v>2</v>
      </c>
      <c r="B87" s="44">
        <v>2</v>
      </c>
      <c r="C87" s="51">
        <v>7</v>
      </c>
      <c r="D87" s="44">
        <v>2</v>
      </c>
      <c r="E87" s="52"/>
      <c r="F87" s="63" t="s">
        <v>65</v>
      </c>
      <c r="G87" s="71">
        <f>SUM(G89:G92)</f>
        <v>370000</v>
      </c>
      <c r="H87" s="120">
        <f>SUM(H88:H92)</f>
        <v>2600</v>
      </c>
      <c r="I87" s="120">
        <f>SUM(I88:I92)</f>
        <v>367400</v>
      </c>
    </row>
    <row r="88" spans="1:9" ht="31.5">
      <c r="A88" s="44">
        <v>2</v>
      </c>
      <c r="B88" s="44">
        <v>2</v>
      </c>
      <c r="C88" s="51">
        <v>7</v>
      </c>
      <c r="D88" s="44">
        <v>1</v>
      </c>
      <c r="E88" s="77">
        <v>2</v>
      </c>
      <c r="F88" s="84" t="s">
        <v>66</v>
      </c>
      <c r="G88" s="83"/>
      <c r="H88" s="121"/>
      <c r="I88" s="121">
        <f>+G88-H88</f>
        <v>0</v>
      </c>
    </row>
    <row r="89" spans="1:9" ht="31.5">
      <c r="A89" s="44">
        <v>2</v>
      </c>
      <c r="B89" s="44">
        <v>2</v>
      </c>
      <c r="C89" s="51">
        <v>7</v>
      </c>
      <c r="D89" s="44">
        <v>2</v>
      </c>
      <c r="E89" s="77">
        <v>2</v>
      </c>
      <c r="F89" s="84" t="s">
        <v>67</v>
      </c>
      <c r="G89" s="67">
        <v>70000</v>
      </c>
      <c r="H89" s="69">
        <v>0</v>
      </c>
      <c r="I89" s="69">
        <f>+G89-H89</f>
        <v>70000</v>
      </c>
    </row>
    <row r="90" spans="1:9" ht="31.5">
      <c r="A90" s="44">
        <v>2</v>
      </c>
      <c r="B90" s="44">
        <v>2</v>
      </c>
      <c r="C90" s="51">
        <v>7</v>
      </c>
      <c r="D90" s="44">
        <v>2</v>
      </c>
      <c r="E90" s="77">
        <v>3</v>
      </c>
      <c r="F90" s="84" t="s">
        <v>68</v>
      </c>
      <c r="G90" s="67"/>
      <c r="H90" s="69">
        <f>G90*12</f>
        <v>0</v>
      </c>
      <c r="I90" s="69">
        <f>+G90-H90</f>
        <v>0</v>
      </c>
    </row>
    <row r="91" spans="1:9" ht="31.5">
      <c r="A91" s="44">
        <v>2</v>
      </c>
      <c r="B91" s="44">
        <v>2</v>
      </c>
      <c r="C91" s="51">
        <v>7</v>
      </c>
      <c r="D91" s="44">
        <v>2</v>
      </c>
      <c r="E91" s="77">
        <v>4</v>
      </c>
      <c r="F91" s="84" t="s">
        <v>69</v>
      </c>
      <c r="G91" s="67">
        <v>100000</v>
      </c>
      <c r="H91" s="69"/>
      <c r="I91" s="69">
        <f>+G91-H91</f>
        <v>100000</v>
      </c>
    </row>
    <row r="92" spans="1:9" ht="31.5">
      <c r="A92" s="44">
        <v>2</v>
      </c>
      <c r="B92" s="44">
        <v>2</v>
      </c>
      <c r="C92" s="51">
        <v>7</v>
      </c>
      <c r="D92" s="44">
        <v>2</v>
      </c>
      <c r="E92" s="77">
        <v>6</v>
      </c>
      <c r="F92" s="84" t="s">
        <v>70</v>
      </c>
      <c r="G92" s="67">
        <v>200000</v>
      </c>
      <c r="H92" s="69">
        <f>1300+100+550+100+550</f>
        <v>2600</v>
      </c>
      <c r="I92" s="69">
        <f>+G92-H92</f>
        <v>197400</v>
      </c>
    </row>
    <row r="93" spans="1:9" ht="15.75">
      <c r="A93" s="44"/>
      <c r="B93" s="44"/>
      <c r="C93" s="51"/>
      <c r="D93" s="44"/>
      <c r="E93" s="77"/>
      <c r="F93" s="65"/>
      <c r="G93" s="67"/>
      <c r="H93" s="69"/>
      <c r="I93" s="69"/>
    </row>
    <row r="94" spans="1:9" ht="16.5" thickBot="1">
      <c r="A94" s="44">
        <v>2</v>
      </c>
      <c r="B94" s="44">
        <v>2</v>
      </c>
      <c r="C94" s="51">
        <v>8</v>
      </c>
      <c r="D94" s="44"/>
      <c r="E94" s="52"/>
      <c r="F94" s="63" t="s">
        <v>71</v>
      </c>
      <c r="G94" s="83">
        <f>SUM(G95+G96)+G98+G103</f>
        <v>3179720</v>
      </c>
      <c r="H94" s="55">
        <f>H95+H96+H98+H103</f>
        <v>1717783.27</v>
      </c>
      <c r="I94" s="55">
        <f>I95+I96+I98+I103</f>
        <v>1461936.73</v>
      </c>
    </row>
    <row r="95" spans="1:9" ht="15.75">
      <c r="A95" s="44">
        <v>2</v>
      </c>
      <c r="B95" s="44">
        <v>2</v>
      </c>
      <c r="C95" s="51">
        <v>8</v>
      </c>
      <c r="D95" s="44">
        <v>2</v>
      </c>
      <c r="E95" s="77"/>
      <c r="F95" s="85" t="s">
        <v>72</v>
      </c>
      <c r="G95" s="66">
        <v>111600</v>
      </c>
      <c r="H95" s="68">
        <f>60+60+7601</f>
        <v>7721</v>
      </c>
      <c r="I95" s="68">
        <f>+G95-H95</f>
        <v>103879</v>
      </c>
    </row>
    <row r="96" spans="1:9" ht="15.75">
      <c r="A96" s="44">
        <v>2</v>
      </c>
      <c r="B96" s="44">
        <v>2</v>
      </c>
      <c r="C96" s="51">
        <v>8</v>
      </c>
      <c r="D96" s="44">
        <v>4</v>
      </c>
      <c r="E96" s="44"/>
      <c r="F96" s="85" t="s">
        <v>73</v>
      </c>
      <c r="G96" s="67">
        <v>0</v>
      </c>
      <c r="H96" s="69">
        <v>0</v>
      </c>
      <c r="I96" s="69">
        <f>+G96-H96</f>
        <v>0</v>
      </c>
    </row>
    <row r="97" spans="1:9" ht="15.75">
      <c r="A97" s="44"/>
      <c r="B97" s="44"/>
      <c r="C97" s="51"/>
      <c r="D97" s="44"/>
      <c r="E97" s="44"/>
      <c r="F97" s="85"/>
      <c r="G97" s="67"/>
      <c r="H97" s="69"/>
      <c r="I97" s="69"/>
    </row>
    <row r="98" spans="1:9" ht="16.5" thickBot="1">
      <c r="A98" s="44">
        <v>2</v>
      </c>
      <c r="B98" s="44">
        <v>2</v>
      </c>
      <c r="C98" s="51">
        <v>8</v>
      </c>
      <c r="D98" s="44">
        <v>6</v>
      </c>
      <c r="E98" s="52"/>
      <c r="F98" s="86" t="s">
        <v>74</v>
      </c>
      <c r="G98" s="83">
        <f>G99+G100</f>
        <v>1332334</v>
      </c>
      <c r="H98" s="75">
        <f>H99+H100+H101</f>
        <v>436665.85</v>
      </c>
      <c r="I98" s="75">
        <f>I99+I100+I101</f>
        <v>895668.14999999991</v>
      </c>
    </row>
    <row r="99" spans="1:9" ht="15.75">
      <c r="A99" s="44">
        <v>2</v>
      </c>
      <c r="B99" s="44">
        <v>2</v>
      </c>
      <c r="C99" s="51">
        <v>8</v>
      </c>
      <c r="D99" s="44">
        <v>6</v>
      </c>
      <c r="E99" s="44">
        <v>1</v>
      </c>
      <c r="F99" s="85" t="s">
        <v>75</v>
      </c>
      <c r="G99" s="149">
        <v>1182334</v>
      </c>
      <c r="H99" s="68">
        <v>0</v>
      </c>
      <c r="I99" s="68">
        <f>+G99-H99</f>
        <v>1182334</v>
      </c>
    </row>
    <row r="100" spans="1:9" ht="15.75">
      <c r="A100" s="44">
        <v>2</v>
      </c>
      <c r="B100" s="44">
        <v>2</v>
      </c>
      <c r="C100" s="51">
        <v>8</v>
      </c>
      <c r="D100" s="44">
        <v>6</v>
      </c>
      <c r="E100" s="44">
        <v>2</v>
      </c>
      <c r="F100" s="85" t="s">
        <v>76</v>
      </c>
      <c r="G100" s="67">
        <v>150000</v>
      </c>
      <c r="H100" s="69">
        <v>3799.85</v>
      </c>
      <c r="I100" s="69">
        <f>+G100-H100</f>
        <v>146200.15</v>
      </c>
    </row>
    <row r="101" spans="1:9" ht="15.75">
      <c r="A101" s="44">
        <v>2</v>
      </c>
      <c r="B101" s="44">
        <v>2</v>
      </c>
      <c r="C101" s="51">
        <v>8</v>
      </c>
      <c r="D101" s="44">
        <v>6</v>
      </c>
      <c r="E101" s="44">
        <v>3</v>
      </c>
      <c r="F101" s="85" t="s">
        <v>148</v>
      </c>
      <c r="G101" s="67"/>
      <c r="H101" s="69">
        <f>427556+5310</f>
        <v>432866</v>
      </c>
      <c r="I101" s="69">
        <f>+G101-H101</f>
        <v>-432866</v>
      </c>
    </row>
    <row r="102" spans="1:9" ht="15.75">
      <c r="A102" s="44"/>
      <c r="B102" s="44"/>
      <c r="C102" s="51"/>
      <c r="D102" s="44"/>
      <c r="E102" s="44"/>
      <c r="F102" s="85"/>
      <c r="G102" s="67"/>
      <c r="H102" s="69">
        <v>0</v>
      </c>
      <c r="I102" s="69">
        <v>0</v>
      </c>
    </row>
    <row r="103" spans="1:9" ht="15.75">
      <c r="A103" s="44">
        <v>2</v>
      </c>
      <c r="B103" s="44">
        <v>2</v>
      </c>
      <c r="C103" s="51">
        <v>8</v>
      </c>
      <c r="D103" s="44">
        <v>7</v>
      </c>
      <c r="E103" s="52"/>
      <c r="F103" s="86" t="s">
        <v>77</v>
      </c>
      <c r="G103" s="87">
        <f>G104+G105+G106+G107+G108</f>
        <v>1735786</v>
      </c>
      <c r="H103" s="76">
        <f>H104+H105+H106+H107+H108</f>
        <v>1273396.42</v>
      </c>
      <c r="I103" s="76">
        <f>I104+I105+I106+I107+I108</f>
        <v>462389.58000000007</v>
      </c>
    </row>
    <row r="104" spans="1:9" ht="15.75">
      <c r="A104" s="44">
        <v>2</v>
      </c>
      <c r="B104" s="44">
        <v>2</v>
      </c>
      <c r="C104" s="51">
        <v>8</v>
      </c>
      <c r="D104" s="44">
        <v>7</v>
      </c>
      <c r="E104" s="44">
        <v>1</v>
      </c>
      <c r="F104" s="65" t="s">
        <v>78</v>
      </c>
      <c r="G104" s="67">
        <v>326769</v>
      </c>
      <c r="H104" s="69">
        <v>0</v>
      </c>
      <c r="I104" s="69">
        <f>+G104-H104</f>
        <v>326769</v>
      </c>
    </row>
    <row r="105" spans="1:9" ht="15.75">
      <c r="A105" s="44">
        <v>2</v>
      </c>
      <c r="B105" s="44">
        <v>2</v>
      </c>
      <c r="C105" s="51">
        <v>8</v>
      </c>
      <c r="D105" s="44">
        <v>7</v>
      </c>
      <c r="E105" s="77">
        <v>3</v>
      </c>
      <c r="F105" s="65" t="s">
        <v>79</v>
      </c>
      <c r="G105" s="67">
        <v>300000</v>
      </c>
      <c r="H105" s="69"/>
      <c r="I105" s="69">
        <f>+G105-H105</f>
        <v>300000</v>
      </c>
    </row>
    <row r="106" spans="1:9" ht="15.75">
      <c r="A106" s="44">
        <v>2</v>
      </c>
      <c r="B106" s="44">
        <v>2</v>
      </c>
      <c r="C106" s="51">
        <v>8</v>
      </c>
      <c r="D106" s="44">
        <v>7</v>
      </c>
      <c r="E106" s="44">
        <v>4</v>
      </c>
      <c r="F106" s="65" t="s">
        <v>80</v>
      </c>
      <c r="G106" s="67">
        <v>50000</v>
      </c>
      <c r="H106" s="69">
        <v>11800</v>
      </c>
      <c r="I106" s="69">
        <f>+G106-H106</f>
        <v>38200</v>
      </c>
    </row>
    <row r="107" spans="1:9" ht="31.5">
      <c r="A107" s="44">
        <v>2</v>
      </c>
      <c r="B107" s="44">
        <v>2</v>
      </c>
      <c r="C107" s="51">
        <v>8</v>
      </c>
      <c r="D107" s="44">
        <v>7</v>
      </c>
      <c r="E107" s="44">
        <v>5</v>
      </c>
      <c r="F107" s="65" t="s">
        <v>81</v>
      </c>
      <c r="G107" s="67">
        <v>275023</v>
      </c>
      <c r="H107" s="69"/>
      <c r="I107" s="69">
        <f>+G107-H107</f>
        <v>275023</v>
      </c>
    </row>
    <row r="108" spans="1:9" ht="15.75">
      <c r="A108" s="44">
        <v>2</v>
      </c>
      <c r="B108" s="44">
        <v>2</v>
      </c>
      <c r="C108" s="51">
        <v>8</v>
      </c>
      <c r="D108" s="44">
        <v>7</v>
      </c>
      <c r="E108" s="44">
        <v>6</v>
      </c>
      <c r="F108" s="65" t="s">
        <v>82</v>
      </c>
      <c r="G108" s="67">
        <v>783994</v>
      </c>
      <c r="H108" s="69">
        <f>47200+14750+21240+38150+31498.92+232932+436600+144225.5+295000</f>
        <v>1261596.42</v>
      </c>
      <c r="I108" s="69">
        <f>+G108-H108</f>
        <v>-477602.41999999993</v>
      </c>
    </row>
    <row r="109" spans="1:9" ht="16.5" thickBot="1">
      <c r="A109" s="44"/>
      <c r="B109" s="44"/>
      <c r="C109" s="51"/>
      <c r="D109" s="44"/>
      <c r="E109" s="44"/>
      <c r="F109" s="65"/>
      <c r="G109" s="70"/>
      <c r="H109" s="75"/>
      <c r="I109" s="75"/>
    </row>
    <row r="110" spans="1:9" ht="16.5" thickBot="1">
      <c r="A110" s="44">
        <v>2</v>
      </c>
      <c r="B110" s="44">
        <v>2</v>
      </c>
      <c r="C110" s="51">
        <v>9</v>
      </c>
      <c r="D110" s="44"/>
      <c r="E110" s="44"/>
      <c r="F110" s="63" t="s">
        <v>83</v>
      </c>
      <c r="G110" s="59">
        <f>G111+G112</f>
        <v>180000</v>
      </c>
      <c r="H110" s="122">
        <f>H111+H112</f>
        <v>81827.16</v>
      </c>
      <c r="I110" s="122">
        <f>I111+I112</f>
        <v>98172.84</v>
      </c>
    </row>
    <row r="111" spans="1:9" ht="16.5" thickBot="1">
      <c r="A111" s="44">
        <v>2</v>
      </c>
      <c r="B111" s="44">
        <v>2</v>
      </c>
      <c r="C111" s="51">
        <v>9</v>
      </c>
      <c r="D111" s="44">
        <v>2</v>
      </c>
      <c r="E111" s="44"/>
      <c r="F111" s="85" t="s">
        <v>84</v>
      </c>
      <c r="G111" s="56"/>
      <c r="H111" s="88"/>
      <c r="I111" s="88"/>
    </row>
    <row r="112" spans="1:9" ht="15.75">
      <c r="A112" s="44">
        <v>2</v>
      </c>
      <c r="B112" s="44">
        <v>2</v>
      </c>
      <c r="C112" s="51">
        <v>9</v>
      </c>
      <c r="D112" s="44">
        <v>2</v>
      </c>
      <c r="E112" s="44">
        <v>1</v>
      </c>
      <c r="F112" s="65" t="s">
        <v>84</v>
      </c>
      <c r="G112" s="67">
        <v>180000</v>
      </c>
      <c r="H112" s="69">
        <f>2679+340+1804.55+272+73228.45+175+100+340+25+1049.96+410+505+898.2</f>
        <v>81827.16</v>
      </c>
      <c r="I112" s="69">
        <f>+G112-H112</f>
        <v>98172.84</v>
      </c>
    </row>
    <row r="113" spans="1:9" ht="15.75">
      <c r="A113" s="44"/>
      <c r="B113" s="44"/>
      <c r="C113" s="51"/>
      <c r="D113" s="44"/>
      <c r="E113" s="44"/>
      <c r="F113" s="65"/>
      <c r="G113" s="67"/>
      <c r="H113" s="69"/>
      <c r="I113" s="69"/>
    </row>
    <row r="114" spans="1:9" ht="16.5" thickBot="1">
      <c r="A114" s="44">
        <v>2</v>
      </c>
      <c r="B114" s="44">
        <v>3</v>
      </c>
      <c r="C114" s="51"/>
      <c r="D114" s="44"/>
      <c r="E114" s="52"/>
      <c r="F114" s="63" t="s">
        <v>85</v>
      </c>
      <c r="G114" s="54">
        <f>G115+G119+G122+G128+G132+G140</f>
        <v>606500</v>
      </c>
      <c r="H114" s="119">
        <f>H115+H119+H122+H128+H132+H140</f>
        <v>26666.35</v>
      </c>
      <c r="I114" s="119">
        <f>I115+I119+I122+I128+I132+I140</f>
        <v>579833.65</v>
      </c>
    </row>
    <row r="115" spans="1:9" ht="12" customHeight="1" thickBot="1">
      <c r="A115" s="44">
        <v>2</v>
      </c>
      <c r="B115" s="44">
        <v>3</v>
      </c>
      <c r="C115" s="51">
        <v>1</v>
      </c>
      <c r="D115" s="44"/>
      <c r="E115" s="52"/>
      <c r="F115" s="89" t="s">
        <v>86</v>
      </c>
      <c r="G115" s="71">
        <f>G116</f>
        <v>0</v>
      </c>
      <c r="H115" s="72">
        <f>H116</f>
        <v>0</v>
      </c>
      <c r="I115" s="72">
        <f>I116</f>
        <v>0</v>
      </c>
    </row>
    <row r="116" spans="1:9" ht="12" customHeight="1">
      <c r="A116" s="44">
        <v>2</v>
      </c>
      <c r="B116" s="44">
        <v>3</v>
      </c>
      <c r="C116" s="51">
        <v>1</v>
      </c>
      <c r="D116" s="44">
        <v>1</v>
      </c>
      <c r="E116" s="52"/>
      <c r="F116" s="90" t="s">
        <v>87</v>
      </c>
      <c r="G116" s="67">
        <f>G117</f>
        <v>0</v>
      </c>
      <c r="H116" s="62"/>
      <c r="I116" s="62">
        <f>+G116-H116</f>
        <v>0</v>
      </c>
    </row>
    <row r="117" spans="1:9" ht="12" customHeight="1">
      <c r="A117" s="44">
        <v>2</v>
      </c>
      <c r="B117" s="44">
        <v>3</v>
      </c>
      <c r="C117" s="51">
        <v>1</v>
      </c>
      <c r="D117" s="44">
        <v>1</v>
      </c>
      <c r="E117" s="52">
        <v>1</v>
      </c>
      <c r="F117" s="90" t="s">
        <v>87</v>
      </c>
      <c r="G117" s="67"/>
      <c r="H117" s="69">
        <v>0</v>
      </c>
      <c r="I117" s="69">
        <v>0</v>
      </c>
    </row>
    <row r="118" spans="1:9" ht="12" customHeight="1">
      <c r="A118" s="44"/>
      <c r="B118" s="44"/>
      <c r="C118" s="51"/>
      <c r="D118" s="44"/>
      <c r="E118" s="52"/>
      <c r="F118" s="89"/>
      <c r="G118" s="67"/>
      <c r="H118" s="69"/>
      <c r="I118" s="69"/>
    </row>
    <row r="119" spans="1:9" s="11" customFormat="1" ht="16.5" thickBot="1">
      <c r="A119" s="44">
        <v>2</v>
      </c>
      <c r="B119" s="44">
        <v>3</v>
      </c>
      <c r="C119" s="51">
        <v>2</v>
      </c>
      <c r="D119" s="44"/>
      <c r="E119" s="52"/>
      <c r="F119" s="89" t="s">
        <v>88</v>
      </c>
      <c r="G119" s="67"/>
      <c r="H119" s="69">
        <f>H120</f>
        <v>0</v>
      </c>
      <c r="I119" s="69">
        <f>I120</f>
        <v>0</v>
      </c>
    </row>
    <row r="120" spans="1:9" ht="15.75">
      <c r="A120" s="44">
        <v>2</v>
      </c>
      <c r="B120" s="44">
        <v>3</v>
      </c>
      <c r="C120" s="51">
        <v>2</v>
      </c>
      <c r="D120" s="44">
        <v>3</v>
      </c>
      <c r="E120" s="52"/>
      <c r="F120" s="90" t="s">
        <v>89</v>
      </c>
      <c r="G120" s="66"/>
      <c r="H120" s="68">
        <v>0</v>
      </c>
      <c r="I120" s="68">
        <v>0</v>
      </c>
    </row>
    <row r="121" spans="1:9" ht="15.75">
      <c r="A121" s="44"/>
      <c r="B121" s="44"/>
      <c r="C121" s="51"/>
      <c r="D121" s="44"/>
      <c r="E121" s="52"/>
      <c r="F121" s="89"/>
      <c r="G121" s="67"/>
      <c r="H121" s="62"/>
      <c r="I121" s="62"/>
    </row>
    <row r="122" spans="1:9" ht="16.5" thickBot="1">
      <c r="A122" s="44">
        <v>2</v>
      </c>
      <c r="B122" s="73">
        <v>3</v>
      </c>
      <c r="C122" s="74">
        <v>3</v>
      </c>
      <c r="D122" s="52"/>
      <c r="E122" s="52"/>
      <c r="F122" s="63" t="s">
        <v>90</v>
      </c>
      <c r="G122" s="54">
        <f>G123+G124+G125+G126</f>
        <v>101500</v>
      </c>
      <c r="H122" s="64">
        <f>H123+H124+H125+H126</f>
        <v>13764.7</v>
      </c>
      <c r="I122" s="64">
        <f>I123+I124+I125+I126</f>
        <v>87735.3</v>
      </c>
    </row>
    <row r="123" spans="1:9" ht="15.75">
      <c r="A123" s="44">
        <v>2</v>
      </c>
      <c r="B123" s="44">
        <v>3</v>
      </c>
      <c r="C123" s="51">
        <v>3</v>
      </c>
      <c r="D123" s="44">
        <v>1</v>
      </c>
      <c r="E123" s="44"/>
      <c r="F123" s="85" t="s">
        <v>91</v>
      </c>
      <c r="G123" s="66">
        <v>68000</v>
      </c>
      <c r="H123" s="68">
        <v>13764.7</v>
      </c>
      <c r="I123" s="68">
        <f>+G123-H123</f>
        <v>54235.3</v>
      </c>
    </row>
    <row r="124" spans="1:9" ht="15.75">
      <c r="A124" s="44">
        <v>2</v>
      </c>
      <c r="B124" s="44">
        <v>3</v>
      </c>
      <c r="C124" s="51">
        <v>3</v>
      </c>
      <c r="D124" s="44">
        <v>2</v>
      </c>
      <c r="E124" s="44"/>
      <c r="F124" s="85" t="s">
        <v>92</v>
      </c>
      <c r="G124" s="67">
        <v>23000</v>
      </c>
      <c r="H124" s="69">
        <v>0</v>
      </c>
      <c r="I124" s="69">
        <f>+G124-H124</f>
        <v>23000</v>
      </c>
    </row>
    <row r="125" spans="1:9" s="15" customFormat="1" ht="15.75">
      <c r="A125" s="44">
        <v>2</v>
      </c>
      <c r="B125" s="44">
        <v>3</v>
      </c>
      <c r="C125" s="51">
        <v>3</v>
      </c>
      <c r="D125" s="44">
        <v>3</v>
      </c>
      <c r="E125" s="44"/>
      <c r="F125" s="85" t="s">
        <v>93</v>
      </c>
      <c r="G125" s="67">
        <v>0</v>
      </c>
      <c r="H125" s="69">
        <v>0</v>
      </c>
      <c r="I125" s="69">
        <f>+G125-H125</f>
        <v>0</v>
      </c>
    </row>
    <row r="126" spans="1:9" s="15" customFormat="1" ht="15.75">
      <c r="A126" s="44">
        <v>2</v>
      </c>
      <c r="B126" s="44">
        <v>3</v>
      </c>
      <c r="C126" s="51">
        <v>3</v>
      </c>
      <c r="D126" s="44">
        <v>4</v>
      </c>
      <c r="E126" s="44"/>
      <c r="F126" s="85" t="s">
        <v>94</v>
      </c>
      <c r="G126" s="67">
        <v>10500</v>
      </c>
      <c r="H126" s="69"/>
      <c r="I126" s="69">
        <f>+G126-H126</f>
        <v>10500</v>
      </c>
    </row>
    <row r="127" spans="1:9" s="16" customFormat="1" ht="15.75">
      <c r="A127" s="44"/>
      <c r="B127" s="44"/>
      <c r="C127" s="51"/>
      <c r="D127" s="44"/>
      <c r="E127" s="44"/>
      <c r="F127" s="85"/>
      <c r="G127" s="67"/>
      <c r="H127" s="69"/>
      <c r="I127" s="69"/>
    </row>
    <row r="128" spans="1:9" ht="32.25" thickBot="1">
      <c r="A128" s="52">
        <v>2</v>
      </c>
      <c r="B128" s="52">
        <v>3</v>
      </c>
      <c r="C128" s="91">
        <v>7</v>
      </c>
      <c r="D128" s="52"/>
      <c r="E128" s="52"/>
      <c r="F128" s="86" t="s">
        <v>95</v>
      </c>
      <c r="G128" s="54">
        <f t="shared" ref="G128:I129" si="0">G129</f>
        <v>300000</v>
      </c>
      <c r="H128" s="75">
        <f t="shared" si="0"/>
        <v>0</v>
      </c>
      <c r="I128" s="75">
        <f t="shared" si="0"/>
        <v>300000</v>
      </c>
    </row>
    <row r="129" spans="1:9" ht="16.5" thickBot="1">
      <c r="A129" s="52">
        <v>2</v>
      </c>
      <c r="B129" s="52">
        <v>3</v>
      </c>
      <c r="C129" s="91">
        <v>7</v>
      </c>
      <c r="D129" s="52">
        <v>1</v>
      </c>
      <c r="E129" s="52"/>
      <c r="F129" s="86" t="s">
        <v>96</v>
      </c>
      <c r="G129" s="54">
        <f t="shared" si="0"/>
        <v>300000</v>
      </c>
      <c r="H129" s="57">
        <f t="shared" si="0"/>
        <v>0</v>
      </c>
      <c r="I129" s="57">
        <f t="shared" si="0"/>
        <v>300000</v>
      </c>
    </row>
    <row r="130" spans="1:9" ht="15.75">
      <c r="A130" s="77">
        <v>2</v>
      </c>
      <c r="B130" s="77">
        <v>3</v>
      </c>
      <c r="C130" s="92">
        <v>7</v>
      </c>
      <c r="D130" s="77">
        <v>1</v>
      </c>
      <c r="E130" s="77">
        <v>1</v>
      </c>
      <c r="F130" s="65" t="s">
        <v>97</v>
      </c>
      <c r="G130" s="82">
        <v>300000</v>
      </c>
      <c r="H130" s="68"/>
      <c r="I130" s="68">
        <f>+G130-H130</f>
        <v>300000</v>
      </c>
    </row>
    <row r="131" spans="1:9" ht="15.75">
      <c r="A131" s="44"/>
      <c r="B131" s="44"/>
      <c r="C131" s="51"/>
      <c r="D131" s="44"/>
      <c r="E131" s="44"/>
      <c r="F131" s="65"/>
      <c r="G131" s="67"/>
      <c r="H131" s="69"/>
      <c r="I131" s="69"/>
    </row>
    <row r="132" spans="1:9" ht="16.5" thickBot="1">
      <c r="A132" s="44">
        <v>2</v>
      </c>
      <c r="B132" s="44">
        <v>3</v>
      </c>
      <c r="C132" s="51">
        <v>9</v>
      </c>
      <c r="D132" s="44"/>
      <c r="E132" s="52"/>
      <c r="F132" s="63" t="s">
        <v>98</v>
      </c>
      <c r="G132" s="87">
        <f>SUM(G133:G137)</f>
        <v>205000</v>
      </c>
      <c r="H132" s="87">
        <f>SUM(H133:H137)</f>
        <v>12901.65</v>
      </c>
      <c r="I132" s="87">
        <f>SUM(I133:I137)</f>
        <v>192098.35</v>
      </c>
    </row>
    <row r="133" spans="1:9" ht="15.75">
      <c r="A133" s="44">
        <v>2</v>
      </c>
      <c r="B133" s="44">
        <v>3</v>
      </c>
      <c r="C133" s="51">
        <v>9</v>
      </c>
      <c r="D133" s="44">
        <v>1</v>
      </c>
      <c r="E133" s="44"/>
      <c r="F133" s="65" t="s">
        <v>99</v>
      </c>
      <c r="G133" s="66">
        <v>15000</v>
      </c>
      <c r="H133" s="69"/>
      <c r="I133" s="69">
        <f>+G133-H134</f>
        <v>15000</v>
      </c>
    </row>
    <row r="134" spans="1:9" ht="31.5">
      <c r="A134" s="44">
        <v>2</v>
      </c>
      <c r="B134" s="44">
        <v>3</v>
      </c>
      <c r="C134" s="51">
        <v>9</v>
      </c>
      <c r="D134" s="44">
        <v>2</v>
      </c>
      <c r="E134" s="44"/>
      <c r="F134" s="65" t="s">
        <v>100</v>
      </c>
      <c r="G134" s="67">
        <v>110000</v>
      </c>
      <c r="H134" s="69"/>
      <c r="I134" s="69">
        <f>+G134-H134</f>
        <v>110000</v>
      </c>
    </row>
    <row r="135" spans="1:9" ht="15.75">
      <c r="A135" s="44">
        <v>2</v>
      </c>
      <c r="B135" s="77">
        <v>3</v>
      </c>
      <c r="C135" s="77">
        <v>9</v>
      </c>
      <c r="D135" s="44">
        <v>5</v>
      </c>
      <c r="E135" s="44"/>
      <c r="F135" s="93" t="s">
        <v>101</v>
      </c>
      <c r="G135" s="67">
        <v>25000</v>
      </c>
      <c r="H135" s="69"/>
      <c r="I135" s="69">
        <f>+G135-H135</f>
        <v>25000</v>
      </c>
    </row>
    <row r="136" spans="1:9" ht="15.75">
      <c r="A136" s="44">
        <v>2</v>
      </c>
      <c r="B136" s="44">
        <v>3</v>
      </c>
      <c r="C136" s="51">
        <v>9</v>
      </c>
      <c r="D136" s="44">
        <v>8</v>
      </c>
      <c r="E136" s="44"/>
      <c r="F136" s="90" t="s">
        <v>102</v>
      </c>
      <c r="G136" s="67">
        <v>35000</v>
      </c>
      <c r="H136" s="69"/>
      <c r="I136" s="69">
        <f>+G136-H136</f>
        <v>35000</v>
      </c>
    </row>
    <row r="137" spans="1:9" ht="15.75">
      <c r="A137" s="44">
        <v>2</v>
      </c>
      <c r="B137" s="44">
        <v>3</v>
      </c>
      <c r="C137" s="51">
        <v>9</v>
      </c>
      <c r="D137" s="44">
        <v>9</v>
      </c>
      <c r="E137" s="44"/>
      <c r="F137" s="90" t="s">
        <v>103</v>
      </c>
      <c r="G137" s="67">
        <v>20000</v>
      </c>
      <c r="H137" s="69">
        <f>6698+1216.8+4210+776.85</f>
        <v>12901.65</v>
      </c>
      <c r="I137" s="69">
        <f>+G137-H137</f>
        <v>7098.35</v>
      </c>
    </row>
    <row r="138" spans="1:9" ht="15.75">
      <c r="A138" s="44">
        <v>2</v>
      </c>
      <c r="B138" s="44">
        <v>3</v>
      </c>
      <c r="C138" s="51">
        <v>9</v>
      </c>
      <c r="D138" s="44">
        <v>9</v>
      </c>
      <c r="E138" s="44">
        <v>2</v>
      </c>
      <c r="F138" s="90" t="s">
        <v>104</v>
      </c>
      <c r="G138" s="67"/>
      <c r="H138" s="69">
        <v>0</v>
      </c>
      <c r="I138" s="69">
        <v>0</v>
      </c>
    </row>
    <row r="139" spans="1:9" ht="15.75">
      <c r="A139" s="44"/>
      <c r="B139" s="44"/>
      <c r="C139" s="51"/>
      <c r="D139" s="44"/>
      <c r="E139" s="44"/>
      <c r="F139" s="65"/>
      <c r="G139" s="67"/>
      <c r="H139" s="69"/>
      <c r="I139" s="69"/>
    </row>
    <row r="140" spans="1:9" ht="16.5" thickBot="1">
      <c r="A140" s="44">
        <v>2</v>
      </c>
      <c r="B140" s="44">
        <v>6</v>
      </c>
      <c r="C140" s="51"/>
      <c r="D140" s="44"/>
      <c r="E140" s="52"/>
      <c r="F140" s="63" t="s">
        <v>105</v>
      </c>
      <c r="G140" s="55">
        <f>G141+G149+G153</f>
        <v>0</v>
      </c>
      <c r="H140" s="55">
        <f>H141+H149+H153</f>
        <v>0</v>
      </c>
      <c r="I140" s="55">
        <f>I141+I149+I153</f>
        <v>0</v>
      </c>
    </row>
    <row r="141" spans="1:9" ht="16.5" thickBot="1">
      <c r="A141" s="44">
        <v>2</v>
      </c>
      <c r="B141" s="44">
        <v>6</v>
      </c>
      <c r="C141" s="51">
        <v>1</v>
      </c>
      <c r="D141" s="44"/>
      <c r="E141" s="77"/>
      <c r="F141" s="86" t="s">
        <v>106</v>
      </c>
      <c r="G141" s="56">
        <f>G143+G144+G145+G147+G148</f>
        <v>0</v>
      </c>
      <c r="H141" s="123">
        <f>+H142+H143+H144+H145+H146+H147</f>
        <v>0</v>
      </c>
      <c r="I141" s="123">
        <f>+I142+I143+I144+I145+I146+I147</f>
        <v>0</v>
      </c>
    </row>
    <row r="142" spans="1:9" ht="15.75">
      <c r="A142" s="44">
        <v>2</v>
      </c>
      <c r="B142" s="44">
        <v>6</v>
      </c>
      <c r="C142" s="51">
        <v>8</v>
      </c>
      <c r="D142" s="44">
        <v>8</v>
      </c>
      <c r="E142" s="77"/>
      <c r="F142" s="94" t="s">
        <v>107</v>
      </c>
      <c r="G142" s="67">
        <f>G144+G145+G146+G148+G149</f>
        <v>0</v>
      </c>
      <c r="H142" s="82">
        <f>H144+H145+H146+H148+H149</f>
        <v>0</v>
      </c>
      <c r="I142" s="82">
        <f>+G142+H142</f>
        <v>0</v>
      </c>
    </row>
    <row r="143" spans="1:9" ht="15.75">
      <c r="A143" s="44">
        <v>2</v>
      </c>
      <c r="B143" s="44">
        <v>6</v>
      </c>
      <c r="C143" s="51">
        <v>1</v>
      </c>
      <c r="D143" s="44">
        <v>1</v>
      </c>
      <c r="E143" s="77"/>
      <c r="F143" s="85" t="s">
        <v>108</v>
      </c>
      <c r="G143" s="67"/>
      <c r="H143" s="69"/>
      <c r="I143" s="69">
        <f>+G143-H143</f>
        <v>0</v>
      </c>
    </row>
    <row r="144" spans="1:9" ht="15.75">
      <c r="A144" s="44">
        <v>2</v>
      </c>
      <c r="B144" s="44">
        <v>6</v>
      </c>
      <c r="C144" s="51">
        <v>1</v>
      </c>
      <c r="D144" s="44">
        <v>4</v>
      </c>
      <c r="E144" s="77"/>
      <c r="F144" s="85" t="s">
        <v>109</v>
      </c>
      <c r="G144" s="67"/>
      <c r="H144" s="69"/>
      <c r="I144" s="69">
        <f>+G144-H144</f>
        <v>0</v>
      </c>
    </row>
    <row r="145" spans="1:9" ht="24.75" customHeight="1">
      <c r="A145" s="44">
        <v>2</v>
      </c>
      <c r="B145" s="44">
        <v>6</v>
      </c>
      <c r="C145" s="51">
        <v>1</v>
      </c>
      <c r="D145" s="44">
        <v>7</v>
      </c>
      <c r="E145" s="77"/>
      <c r="F145" s="85" t="s">
        <v>110</v>
      </c>
      <c r="G145" s="67"/>
      <c r="H145" s="69">
        <v>0</v>
      </c>
      <c r="I145" s="69">
        <f>+G145-H145</f>
        <v>0</v>
      </c>
    </row>
    <row r="146" spans="1:9" ht="15.75">
      <c r="A146" s="44">
        <v>2</v>
      </c>
      <c r="B146" s="44">
        <v>6</v>
      </c>
      <c r="C146" s="51">
        <v>1</v>
      </c>
      <c r="D146" s="44">
        <v>8</v>
      </c>
      <c r="E146" s="77"/>
      <c r="F146" s="85" t="s">
        <v>111</v>
      </c>
      <c r="G146" s="67"/>
      <c r="H146" s="69"/>
      <c r="I146" s="69">
        <f>+G146-H146</f>
        <v>0</v>
      </c>
    </row>
    <row r="147" spans="1:9" ht="31.5">
      <c r="A147" s="44">
        <v>2</v>
      </c>
      <c r="B147" s="44">
        <v>6</v>
      </c>
      <c r="C147" s="51">
        <v>1</v>
      </c>
      <c r="D147" s="44">
        <v>9</v>
      </c>
      <c r="E147" s="77"/>
      <c r="F147" s="85" t="s">
        <v>112</v>
      </c>
      <c r="G147" s="67"/>
      <c r="H147" s="69"/>
      <c r="I147" s="69">
        <f>+G147-H147</f>
        <v>0</v>
      </c>
    </row>
    <row r="148" spans="1:9" ht="15.75">
      <c r="A148" s="44"/>
      <c r="B148" s="44"/>
      <c r="C148" s="51"/>
      <c r="D148" s="44"/>
      <c r="E148" s="52"/>
      <c r="F148" s="86"/>
      <c r="G148" s="83"/>
      <c r="H148" s="55"/>
      <c r="I148" s="55"/>
    </row>
    <row r="149" spans="1:9" ht="32.25" thickBot="1">
      <c r="A149" s="44">
        <v>2</v>
      </c>
      <c r="B149" s="44">
        <v>6</v>
      </c>
      <c r="C149" s="51">
        <v>2</v>
      </c>
      <c r="D149" s="44"/>
      <c r="E149" s="52"/>
      <c r="F149" s="86" t="s">
        <v>113</v>
      </c>
      <c r="G149" s="54">
        <f>G150+G151</f>
        <v>0</v>
      </c>
      <c r="H149" s="75"/>
      <c r="I149" s="75">
        <f>I150+I151</f>
        <v>0</v>
      </c>
    </row>
    <row r="150" spans="1:9" ht="15.75">
      <c r="A150" s="44">
        <v>2</v>
      </c>
      <c r="B150" s="44">
        <v>6</v>
      </c>
      <c r="C150" s="51">
        <v>2</v>
      </c>
      <c r="D150" s="44">
        <v>1</v>
      </c>
      <c r="E150" s="77"/>
      <c r="F150" s="65" t="s">
        <v>114</v>
      </c>
      <c r="G150" s="67"/>
      <c r="H150" s="69">
        <v>0</v>
      </c>
      <c r="I150" s="69">
        <f>+G150-H150</f>
        <v>0</v>
      </c>
    </row>
    <row r="151" spans="1:9" ht="31.5" customHeight="1">
      <c r="A151" s="44">
        <v>2</v>
      </c>
      <c r="B151" s="44">
        <v>6</v>
      </c>
      <c r="C151" s="51">
        <v>2</v>
      </c>
      <c r="D151" s="44">
        <v>3</v>
      </c>
      <c r="E151" s="77"/>
      <c r="F151" s="65" t="s">
        <v>115</v>
      </c>
      <c r="G151" s="67"/>
      <c r="H151" s="69">
        <f>G151*12</f>
        <v>0</v>
      </c>
      <c r="I151" s="69">
        <f>+G151-H151</f>
        <v>0</v>
      </c>
    </row>
    <row r="152" spans="1:9" ht="15.75">
      <c r="A152" s="44"/>
      <c r="B152" s="44"/>
      <c r="C152" s="51"/>
      <c r="D152" s="44"/>
      <c r="E152" s="52"/>
      <c r="F152" s="63"/>
      <c r="G152" s="83"/>
      <c r="H152" s="55"/>
      <c r="I152" s="55"/>
    </row>
    <row r="153" spans="1:9" ht="32.25" thickBot="1">
      <c r="A153" s="44">
        <v>2</v>
      </c>
      <c r="B153" s="44">
        <v>6</v>
      </c>
      <c r="C153" s="51">
        <v>4</v>
      </c>
      <c r="D153" s="44"/>
      <c r="E153" s="52"/>
      <c r="F153" s="63" t="s">
        <v>116</v>
      </c>
      <c r="G153" s="83">
        <f>G155+G156+G154</f>
        <v>0</v>
      </c>
      <c r="H153" s="69">
        <f>H154+H155</f>
        <v>0</v>
      </c>
      <c r="I153" s="69">
        <f>I154+I155</f>
        <v>0</v>
      </c>
    </row>
    <row r="154" spans="1:9" ht="31.5">
      <c r="A154" s="44">
        <v>2</v>
      </c>
      <c r="B154" s="44">
        <v>6</v>
      </c>
      <c r="C154" s="51">
        <v>4</v>
      </c>
      <c r="D154" s="44"/>
      <c r="E154" s="52"/>
      <c r="F154" s="85" t="s">
        <v>116</v>
      </c>
      <c r="G154" s="59"/>
      <c r="H154" s="68">
        <v>0</v>
      </c>
      <c r="I154" s="68">
        <f>+G154-H154</f>
        <v>0</v>
      </c>
    </row>
    <row r="155" spans="1:9" ht="15.75">
      <c r="A155" s="44">
        <v>2</v>
      </c>
      <c r="B155" s="44">
        <v>6</v>
      </c>
      <c r="C155" s="51">
        <v>4</v>
      </c>
      <c r="D155" s="44">
        <v>1</v>
      </c>
      <c r="E155" s="44"/>
      <c r="F155" s="85" t="s">
        <v>117</v>
      </c>
      <c r="G155" s="67"/>
      <c r="H155" s="69">
        <v>0</v>
      </c>
      <c r="I155" s="69">
        <f>+G155-H155</f>
        <v>0</v>
      </c>
    </row>
    <row r="156" spans="1:9" ht="15.75">
      <c r="A156" s="44">
        <v>2</v>
      </c>
      <c r="B156" s="44">
        <v>6</v>
      </c>
      <c r="C156" s="51">
        <v>4</v>
      </c>
      <c r="D156" s="44">
        <v>7</v>
      </c>
      <c r="E156" s="44"/>
      <c r="F156" s="85" t="s">
        <v>118</v>
      </c>
      <c r="G156" s="67">
        <v>0</v>
      </c>
      <c r="H156" s="69">
        <v>0</v>
      </c>
      <c r="I156" s="69">
        <v>0</v>
      </c>
    </row>
    <row r="157" spans="1:9" ht="16.5" thickBot="1">
      <c r="A157" s="44"/>
      <c r="B157" s="44"/>
      <c r="C157" s="51"/>
      <c r="D157" s="43"/>
      <c r="E157" s="44"/>
      <c r="F157" s="85"/>
      <c r="G157" s="70"/>
      <c r="H157" s="75"/>
      <c r="I157" s="75"/>
    </row>
    <row r="158" spans="1:9" ht="16.5" thickBot="1">
      <c r="A158" s="95"/>
      <c r="B158" s="95"/>
      <c r="C158" s="96"/>
      <c r="D158" s="97"/>
      <c r="E158" s="97"/>
      <c r="F158" s="98" t="s">
        <v>119</v>
      </c>
      <c r="G158" s="54">
        <f>G114+G53+G13</f>
        <v>54039167</v>
      </c>
      <c r="H158" s="54">
        <f>H114+H53+H13</f>
        <v>5359997.83</v>
      </c>
      <c r="I158" s="54">
        <f>I114+I53+I13</f>
        <v>48679169.170000002</v>
      </c>
    </row>
    <row r="159" spans="1:9" ht="15.75">
      <c r="A159" s="99"/>
      <c r="B159" s="99"/>
      <c r="C159" s="28"/>
      <c r="D159" s="28"/>
      <c r="E159" s="28"/>
      <c r="F159" s="156"/>
      <c r="G159" s="157"/>
      <c r="H159" s="157"/>
      <c r="I159" s="157"/>
    </row>
    <row r="160" spans="1:9" ht="15.75">
      <c r="A160" s="99"/>
      <c r="B160" s="99"/>
      <c r="C160" s="28"/>
      <c r="D160" s="28"/>
      <c r="E160" s="28"/>
      <c r="F160" s="156"/>
      <c r="G160" s="157"/>
      <c r="H160" s="157"/>
      <c r="I160" s="157"/>
    </row>
    <row r="161" spans="1:9" ht="18">
      <c r="A161" s="99"/>
      <c r="B161" s="99"/>
      <c r="C161" s="28"/>
      <c r="D161" s="28"/>
      <c r="E161" s="100"/>
      <c r="F161" s="101"/>
      <c r="G161" s="102"/>
      <c r="H161" s="103"/>
      <c r="I161" s="19"/>
    </row>
    <row r="162" spans="1:9" ht="18.75" thickBot="1">
      <c r="A162" s="26"/>
      <c r="B162" s="26"/>
      <c r="C162" s="26"/>
      <c r="D162" s="26"/>
      <c r="E162" s="26"/>
      <c r="F162" s="101"/>
      <c r="G162" s="104"/>
      <c r="H162" s="104"/>
      <c r="I162" s="20"/>
    </row>
    <row r="163" spans="1:9" ht="18.75">
      <c r="A163" s="26"/>
      <c r="B163" s="26"/>
      <c r="C163" s="26"/>
      <c r="D163" s="26"/>
      <c r="E163" s="26"/>
      <c r="F163" s="105" t="s">
        <v>120</v>
      </c>
      <c r="G163" s="104"/>
      <c r="H163" s="104">
        <v>5359998</v>
      </c>
      <c r="I163" s="18"/>
    </row>
    <row r="164" spans="1:9" ht="18.75">
      <c r="A164" s="26"/>
      <c r="B164" s="26"/>
      <c r="C164" s="26"/>
      <c r="D164" s="26"/>
      <c r="E164" s="26"/>
      <c r="F164" s="101" t="s">
        <v>121</v>
      </c>
      <c r="G164" s="106"/>
      <c r="H164" s="104"/>
      <c r="I164" s="18"/>
    </row>
    <row r="165" spans="1:9" ht="18.75">
      <c r="A165" s="26"/>
      <c r="B165" s="26"/>
      <c r="C165" s="26"/>
      <c r="D165" s="26"/>
      <c r="E165" s="26"/>
      <c r="F165" s="101"/>
      <c r="G165" s="106"/>
      <c r="H165" s="104">
        <f>+H163-H158</f>
        <v>0.16999999992549419</v>
      </c>
      <c r="I165" s="154"/>
    </row>
    <row r="166" spans="1:9" ht="18.75">
      <c r="A166" s="26"/>
      <c r="B166" s="26"/>
      <c r="C166" s="26"/>
      <c r="D166" s="26"/>
      <c r="E166" s="26"/>
      <c r="F166" s="101"/>
      <c r="G166" s="104"/>
      <c r="H166" s="104"/>
      <c r="I166" s="18"/>
    </row>
    <row r="167" spans="1:9" ht="18.75">
      <c r="A167" s="26"/>
      <c r="B167" s="26"/>
      <c r="C167" s="26"/>
      <c r="D167" s="26"/>
      <c r="E167" s="26"/>
      <c r="F167" s="101"/>
      <c r="G167" s="106"/>
      <c r="H167" s="13"/>
      <c r="I167" s="22"/>
    </row>
    <row r="168" spans="1:9" ht="18.75">
      <c r="A168" s="26"/>
      <c r="B168" s="26"/>
      <c r="C168" s="26"/>
      <c r="D168" s="26"/>
      <c r="E168" s="26"/>
      <c r="F168" s="101"/>
      <c r="G168" s="106"/>
      <c r="H168" s="13"/>
      <c r="I168" s="22"/>
    </row>
    <row r="169" spans="1:9" ht="18.75">
      <c r="A169" s="26"/>
      <c r="B169" s="26"/>
      <c r="C169" s="26"/>
      <c r="D169" s="26"/>
      <c r="E169" s="26"/>
      <c r="F169" s="101"/>
      <c r="G169" s="106"/>
      <c r="H169" s="13"/>
      <c r="I169" s="22"/>
    </row>
    <row r="170" spans="1:9" ht="19.5" thickBot="1">
      <c r="A170" s="26"/>
      <c r="B170" s="26"/>
      <c r="C170" s="26"/>
      <c r="D170" s="26"/>
      <c r="E170" s="26"/>
      <c r="F170" s="109"/>
      <c r="G170" s="106"/>
      <c r="H170" s="13"/>
      <c r="I170" s="22"/>
    </row>
    <row r="171" spans="1:9" ht="18">
      <c r="A171" s="26"/>
      <c r="B171" s="26"/>
      <c r="C171" s="26"/>
      <c r="D171" s="26"/>
      <c r="E171" s="26"/>
      <c r="F171" s="101" t="s">
        <v>122</v>
      </c>
      <c r="G171" s="107"/>
      <c r="H171" s="13"/>
      <c r="I171" s="19"/>
    </row>
    <row r="172" spans="1:9" ht="18">
      <c r="A172" s="26"/>
      <c r="B172" s="26"/>
      <c r="C172" s="26"/>
      <c r="D172" s="26"/>
      <c r="E172" s="26"/>
      <c r="F172" s="101" t="s">
        <v>123</v>
      </c>
      <c r="G172" s="107"/>
      <c r="H172" s="13"/>
      <c r="I172" s="19"/>
    </row>
    <row r="173" spans="1:9" ht="18">
      <c r="A173" s="26"/>
      <c r="B173" s="26"/>
      <c r="C173" s="26"/>
      <c r="D173" s="26"/>
      <c r="E173" s="26"/>
      <c r="F173" s="101"/>
      <c r="G173" s="108"/>
      <c r="H173" s="13"/>
      <c r="I173" s="24"/>
    </row>
    <row r="174" spans="1:9" ht="15.75">
      <c r="A174" s="26"/>
      <c r="B174" s="26"/>
      <c r="C174" s="26"/>
      <c r="D174" s="26"/>
      <c r="E174" s="26"/>
      <c r="F174" s="99"/>
      <c r="G174" s="108"/>
      <c r="H174" s="13"/>
      <c r="I174" s="24"/>
    </row>
    <row r="175" spans="1:9" ht="15.75">
      <c r="A175" s="26"/>
      <c r="B175" s="26"/>
      <c r="C175" s="26"/>
      <c r="D175" s="26"/>
      <c r="E175" s="26"/>
      <c r="F175" s="99"/>
      <c r="G175" s="108"/>
      <c r="H175" s="13"/>
      <c r="I175" s="24"/>
    </row>
    <row r="176" spans="1:9" ht="18">
      <c r="A176" s="26"/>
      <c r="B176" s="26"/>
      <c r="C176" s="26"/>
      <c r="D176" s="26"/>
      <c r="E176" s="26"/>
      <c r="F176" s="26"/>
      <c r="G176" s="110"/>
      <c r="H176" s="13"/>
      <c r="I176" s="23"/>
    </row>
    <row r="177" spans="1:9" ht="18">
      <c r="A177" s="26"/>
      <c r="B177" s="26"/>
      <c r="C177" s="26"/>
      <c r="D177" s="26"/>
      <c r="E177" s="26"/>
      <c r="F177" s="26"/>
      <c r="G177" s="101"/>
      <c r="H177" s="13"/>
      <c r="I177" s="21"/>
    </row>
    <row r="178" spans="1:9" ht="18.75" thickBot="1">
      <c r="A178" s="26"/>
      <c r="B178" s="26"/>
      <c r="C178" s="26"/>
      <c r="D178" s="26"/>
      <c r="E178" s="26"/>
      <c r="F178" s="109"/>
      <c r="G178" s="101"/>
      <c r="H178" s="111"/>
      <c r="I178" s="21"/>
    </row>
    <row r="179" spans="1:9" ht="18">
      <c r="A179" s="26"/>
      <c r="B179" s="26"/>
      <c r="C179" s="26"/>
      <c r="D179" s="112"/>
      <c r="E179" s="26"/>
      <c r="F179" s="101" t="s">
        <v>124</v>
      </c>
      <c r="G179" s="112"/>
      <c r="H179" s="111"/>
      <c r="I179" s="21"/>
    </row>
    <row r="180" spans="1:9" ht="18">
      <c r="A180" s="26"/>
      <c r="B180" s="26"/>
      <c r="C180" s="26"/>
      <c r="D180" s="26"/>
      <c r="E180" s="26"/>
      <c r="F180" s="101" t="s">
        <v>125</v>
      </c>
      <c r="G180" s="26"/>
      <c r="H180" s="113"/>
      <c r="I180" s="25"/>
    </row>
    <row r="181" spans="1:9" ht="18">
      <c r="A181" s="26"/>
      <c r="B181" s="26"/>
      <c r="C181" s="26"/>
      <c r="D181" s="26"/>
      <c r="E181" s="26"/>
      <c r="F181" s="101"/>
      <c r="G181" s="26"/>
      <c r="H181" s="113"/>
      <c r="I181" s="25"/>
    </row>
    <row r="182" spans="1:9">
      <c r="A182" s="26"/>
      <c r="B182" s="26"/>
      <c r="C182" s="26"/>
      <c r="D182" s="26"/>
      <c r="E182" s="26"/>
      <c r="F182" s="26"/>
      <c r="G182" s="26"/>
      <c r="H182" s="113"/>
      <c r="I182" s="25"/>
    </row>
    <row r="183" spans="1:9">
      <c r="A183" s="26"/>
      <c r="B183" s="26"/>
      <c r="C183" s="26"/>
      <c r="D183" s="26"/>
      <c r="E183" s="26"/>
      <c r="F183" s="26"/>
      <c r="G183" s="26"/>
      <c r="H183" s="113"/>
      <c r="I183" s="13"/>
    </row>
    <row r="184" spans="1:9">
      <c r="A184" s="26"/>
      <c r="B184" s="26"/>
      <c r="C184" s="26"/>
      <c r="D184" s="26"/>
      <c r="E184" s="26"/>
      <c r="F184" s="26"/>
      <c r="G184" s="26"/>
      <c r="H184" s="113"/>
      <c r="I184" s="13"/>
    </row>
    <row r="185" spans="1:9">
      <c r="A185" s="26"/>
      <c r="B185" s="26"/>
      <c r="C185" s="26"/>
      <c r="D185" s="26"/>
      <c r="E185" s="26"/>
      <c r="G185" s="26"/>
      <c r="H185" s="113"/>
      <c r="I185" s="13"/>
    </row>
    <row r="186" spans="1:9">
      <c r="A186" s="26"/>
      <c r="B186" s="26"/>
      <c r="C186" s="26"/>
      <c r="D186" s="26"/>
      <c r="E186" s="26"/>
      <c r="G186" s="26"/>
      <c r="H186" s="27"/>
      <c r="I186" s="13"/>
    </row>
    <row r="187" spans="1:9" ht="18">
      <c r="A187" s="26"/>
      <c r="B187" s="26"/>
      <c r="C187" s="26"/>
      <c r="D187" s="26"/>
      <c r="E187" s="26"/>
      <c r="F187" s="101"/>
      <c r="G187" s="26"/>
      <c r="H187" s="27"/>
      <c r="I187" s="13"/>
    </row>
    <row r="188" spans="1:9">
      <c r="A188" s="26"/>
      <c r="B188" s="26"/>
      <c r="C188" s="26"/>
      <c r="D188" s="26"/>
      <c r="E188" s="26"/>
      <c r="F188" s="26"/>
      <c r="G188" s="26"/>
      <c r="H188" s="27"/>
      <c r="I188" s="13"/>
    </row>
    <row r="189" spans="1:9">
      <c r="A189" s="26"/>
      <c r="B189" s="26"/>
      <c r="C189" s="26"/>
      <c r="D189" s="26"/>
      <c r="E189" s="26"/>
      <c r="F189" s="26"/>
      <c r="G189" s="26"/>
      <c r="H189" s="27"/>
      <c r="I189" s="13"/>
    </row>
    <row r="190" spans="1:9">
      <c r="A190" s="26"/>
      <c r="B190" s="26"/>
      <c r="C190" s="26"/>
      <c r="D190" s="26"/>
      <c r="E190" s="26"/>
      <c r="F190" s="26"/>
      <c r="G190" s="26"/>
      <c r="H190" s="27"/>
      <c r="I190" s="13"/>
    </row>
    <row r="191" spans="1:9">
      <c r="I191" s="13"/>
    </row>
    <row r="192" spans="1:9">
      <c r="I192" s="13"/>
    </row>
    <row r="193" spans="9:9">
      <c r="I193" s="13"/>
    </row>
    <row r="194" spans="9:9">
      <c r="I194" s="13"/>
    </row>
    <row r="195" spans="9:9">
      <c r="I195" s="13"/>
    </row>
    <row r="196" spans="9:9">
      <c r="I196" s="13"/>
    </row>
    <row r="197" spans="9:9">
      <c r="I197" s="13"/>
    </row>
    <row r="198" spans="9:9">
      <c r="I198" s="13"/>
    </row>
    <row r="199" spans="9:9">
      <c r="I199" s="13"/>
    </row>
    <row r="200" spans="9:9">
      <c r="I200" s="13"/>
    </row>
    <row r="201" spans="9:9">
      <c r="I201" s="13"/>
    </row>
    <row r="202" spans="9:9">
      <c r="I202" s="13"/>
    </row>
    <row r="203" spans="9:9">
      <c r="I203" s="13"/>
    </row>
    <row r="204" spans="9:9">
      <c r="I204" s="13"/>
    </row>
    <row r="205" spans="9:9">
      <c r="I205" s="13"/>
    </row>
    <row r="206" spans="9:9">
      <c r="I206" s="13"/>
    </row>
    <row r="207" spans="9:9">
      <c r="I207" s="13"/>
    </row>
    <row r="208" spans="9:9">
      <c r="I208" s="13"/>
    </row>
    <row r="209" spans="9:9">
      <c r="I209" s="13"/>
    </row>
    <row r="210" spans="9:9">
      <c r="I210" s="13"/>
    </row>
    <row r="211" spans="9:9">
      <c r="I211" s="13"/>
    </row>
    <row r="212" spans="9:9">
      <c r="I212" s="13"/>
    </row>
    <row r="213" spans="9:9">
      <c r="I213" s="13"/>
    </row>
    <row r="214" spans="9:9">
      <c r="I214" s="13"/>
    </row>
    <row r="215" spans="9:9">
      <c r="I215" s="13"/>
    </row>
    <row r="216" spans="9:9">
      <c r="I216" s="13"/>
    </row>
    <row r="217" spans="9:9">
      <c r="I217" s="13"/>
    </row>
    <row r="218" spans="9:9">
      <c r="I218" s="13"/>
    </row>
    <row r="219" spans="9:9">
      <c r="I219" s="13"/>
    </row>
    <row r="220" spans="9:9">
      <c r="I220" s="13"/>
    </row>
    <row r="221" spans="9:9">
      <c r="I221" s="13"/>
    </row>
    <row r="222" spans="9:9">
      <c r="I222" s="13"/>
    </row>
    <row r="223" spans="9:9">
      <c r="I223" s="13"/>
    </row>
    <row r="224" spans="9:9">
      <c r="I224" s="13"/>
    </row>
    <row r="225" spans="9:9">
      <c r="I225" s="13"/>
    </row>
    <row r="226" spans="9:9">
      <c r="I226" s="13"/>
    </row>
    <row r="227" spans="9:9">
      <c r="I227" s="13"/>
    </row>
    <row r="228" spans="9:9">
      <c r="I228" s="13"/>
    </row>
    <row r="229" spans="9:9">
      <c r="I229" s="13"/>
    </row>
    <row r="230" spans="9:9">
      <c r="I230" s="13"/>
    </row>
    <row r="231" spans="9:9">
      <c r="I231" s="13"/>
    </row>
    <row r="232" spans="9:9">
      <c r="I232" s="13"/>
    </row>
    <row r="233" spans="9:9">
      <c r="I233" s="13"/>
    </row>
    <row r="234" spans="9:9">
      <c r="I234" s="13"/>
    </row>
    <row r="235" spans="9:9">
      <c r="I235" s="13"/>
    </row>
    <row r="236" spans="9:9">
      <c r="I236" s="13"/>
    </row>
    <row r="237" spans="9:9">
      <c r="I237" s="13"/>
    </row>
    <row r="238" spans="9:9">
      <c r="I238" s="13"/>
    </row>
    <row r="239" spans="9:9">
      <c r="I239" s="13"/>
    </row>
    <row r="240" spans="9:9">
      <c r="I240" s="13"/>
    </row>
    <row r="241" spans="9:9">
      <c r="I241" s="13"/>
    </row>
    <row r="242" spans="9:9">
      <c r="I242" s="13"/>
    </row>
    <row r="243" spans="9:9">
      <c r="I243" s="13"/>
    </row>
    <row r="244" spans="9:9">
      <c r="I244" s="13"/>
    </row>
    <row r="245" spans="9:9">
      <c r="I245" s="13"/>
    </row>
    <row r="246" spans="9:9">
      <c r="I246" s="13"/>
    </row>
    <row r="247" spans="9:9">
      <c r="I247" s="13"/>
    </row>
    <row r="248" spans="9:9">
      <c r="I248" s="13"/>
    </row>
    <row r="249" spans="9:9">
      <c r="I249" s="13"/>
    </row>
    <row r="250" spans="9:9">
      <c r="I250" s="13"/>
    </row>
    <row r="251" spans="9:9">
      <c r="I251" s="13"/>
    </row>
    <row r="252" spans="9:9">
      <c r="I252" s="13"/>
    </row>
    <row r="253" spans="9:9">
      <c r="I253" s="13"/>
    </row>
    <row r="254" spans="9:9">
      <c r="I254" s="13"/>
    </row>
    <row r="255" spans="9:9">
      <c r="I255" s="13"/>
    </row>
    <row r="256" spans="9:9">
      <c r="I256" s="13"/>
    </row>
    <row r="257" spans="9:9">
      <c r="I257" s="13"/>
    </row>
    <row r="258" spans="9:9">
      <c r="I258" s="13"/>
    </row>
  </sheetData>
  <mergeCells count="4">
    <mergeCell ref="A5:H5"/>
    <mergeCell ref="A6:H6"/>
    <mergeCell ref="A7:H7"/>
    <mergeCell ref="A9:E9"/>
  </mergeCells>
  <pageMargins left="1.299212598425197" right="0.9055118110236221" top="0" bottom="0.15748031496062992" header="0" footer="0"/>
  <pageSetup paperSize="5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6:K139"/>
  <sheetViews>
    <sheetView topLeftCell="A91" workbookViewId="0">
      <selection activeCell="D104" sqref="D104:E139"/>
    </sheetView>
  </sheetViews>
  <sheetFormatPr baseColWidth="10" defaultRowHeight="15"/>
  <cols>
    <col min="3" max="3" width="11.42578125" customWidth="1"/>
    <col min="4" max="4" width="64.42578125" customWidth="1"/>
    <col min="5" max="5" width="23.7109375" customWidth="1"/>
    <col min="6" max="6" width="18.42578125" customWidth="1"/>
    <col min="7" max="7" width="14.140625" bestFit="1" customWidth="1"/>
    <col min="8" max="8" width="17.7109375" customWidth="1"/>
  </cols>
  <sheetData>
    <row r="6" spans="4:5" ht="29.25">
      <c r="D6" s="155" t="s">
        <v>146</v>
      </c>
      <c r="E6" s="124">
        <v>5153827.88</v>
      </c>
    </row>
    <row r="7" spans="4:5" ht="16.5">
      <c r="D7" s="13"/>
      <c r="E7" s="152"/>
    </row>
    <row r="8" spans="4:5" ht="15.75">
      <c r="D8" s="114" t="s">
        <v>154</v>
      </c>
      <c r="E8" s="124"/>
    </row>
    <row r="9" spans="4:5" ht="15.75">
      <c r="D9" s="115"/>
      <c r="E9" s="125"/>
    </row>
    <row r="10" spans="4:5">
      <c r="D10" s="116" t="s">
        <v>147</v>
      </c>
      <c r="E10" s="186">
        <v>37017.5</v>
      </c>
    </row>
    <row r="11" spans="4:5">
      <c r="D11" s="117" t="s">
        <v>126</v>
      </c>
      <c r="E11" s="124"/>
    </row>
    <row r="12" spans="4:5">
      <c r="D12" s="117" t="s">
        <v>153</v>
      </c>
      <c r="E12" s="124">
        <v>295000</v>
      </c>
    </row>
    <row r="13" spans="4:5">
      <c r="D13" s="117" t="s">
        <v>127</v>
      </c>
      <c r="E13" s="126">
        <v>43752.78</v>
      </c>
    </row>
    <row r="14" spans="4:5">
      <c r="D14" s="117" t="s">
        <v>128</v>
      </c>
      <c r="E14" s="126">
        <v>8059.77</v>
      </c>
    </row>
    <row r="15" spans="4:5">
      <c r="D15" s="117"/>
      <c r="E15" s="126"/>
    </row>
    <row r="16" spans="4:5">
      <c r="D16" s="116"/>
      <c r="E16" s="127"/>
    </row>
    <row r="17" spans="4:10">
      <c r="D17" s="117" t="s">
        <v>129</v>
      </c>
      <c r="E17" s="127"/>
    </row>
    <row r="18" spans="4:10" ht="15.75" thickBot="1">
      <c r="D18" s="117" t="s">
        <v>130</v>
      </c>
      <c r="E18" s="129">
        <f>E10-E12+E13+E14</f>
        <v>-206169.95</v>
      </c>
    </row>
    <row r="19" spans="4:10" ht="15.75" thickTop="1">
      <c r="D19" s="116"/>
      <c r="E19" s="128">
        <f>+E6-E18</f>
        <v>5359997.83</v>
      </c>
      <c r="F19" s="197">
        <f>+'ENERO 2025'!H158</f>
        <v>5359997.83</v>
      </c>
    </row>
    <row r="20" spans="4:10">
      <c r="G20" s="197">
        <f>+E19-F19</f>
        <v>0</v>
      </c>
    </row>
    <row r="21" spans="4:10">
      <c r="F21" s="8"/>
    </row>
    <row r="23" spans="4:10" ht="29.25">
      <c r="D23" s="155" t="s">
        <v>156</v>
      </c>
      <c r="E23" s="124">
        <v>4465600.41</v>
      </c>
      <c r="F23" s="13"/>
      <c r="G23" s="8"/>
      <c r="H23" s="8"/>
      <c r="I23" s="13"/>
    </row>
    <row r="24" spans="4:10" ht="16.5">
      <c r="D24" s="13"/>
      <c r="E24" s="152"/>
    </row>
    <row r="25" spans="4:10" ht="15.75">
      <c r="D25" s="114" t="s">
        <v>157</v>
      </c>
      <c r="E25" s="124"/>
      <c r="F25" s="8"/>
      <c r="G25" s="8"/>
    </row>
    <row r="26" spans="4:10" ht="15.75">
      <c r="D26" s="184"/>
      <c r="E26" s="124"/>
    </row>
    <row r="27" spans="4:10">
      <c r="D27" s="185" t="s">
        <v>147</v>
      </c>
      <c r="E27" s="186"/>
    </row>
    <row r="28" spans="4:10">
      <c r="D28" s="185" t="s">
        <v>126</v>
      </c>
      <c r="E28" s="124">
        <v>39846.21</v>
      </c>
      <c r="G28" s="8"/>
      <c r="H28" s="8"/>
      <c r="I28" s="8"/>
    </row>
    <row r="29" spans="4:10">
      <c r="D29" s="185" t="s">
        <v>159</v>
      </c>
      <c r="E29" s="124">
        <v>13998</v>
      </c>
    </row>
    <row r="30" spans="4:10">
      <c r="D30" s="185" t="s">
        <v>158</v>
      </c>
      <c r="E30" s="124">
        <v>71783</v>
      </c>
      <c r="F30" s="8"/>
    </row>
    <row r="31" spans="4:10">
      <c r="D31" s="185" t="s">
        <v>161</v>
      </c>
      <c r="E31" s="124">
        <v>3191</v>
      </c>
      <c r="H31" s="8"/>
    </row>
    <row r="32" spans="4:10" ht="29.25">
      <c r="D32" s="185" t="s">
        <v>167</v>
      </c>
      <c r="E32" s="126">
        <v>7354.99</v>
      </c>
      <c r="G32" s="8"/>
      <c r="J32" s="8"/>
    </row>
    <row r="33" spans="4:11">
      <c r="D33" s="185" t="s">
        <v>128</v>
      </c>
      <c r="E33" s="126">
        <v>4133.99</v>
      </c>
      <c r="H33" s="8"/>
    </row>
    <row r="34" spans="4:11">
      <c r="D34" s="185" t="s">
        <v>174</v>
      </c>
      <c r="E34" s="126">
        <v>505</v>
      </c>
      <c r="F34" s="13"/>
      <c r="G34" s="13"/>
      <c r="H34" s="13"/>
    </row>
    <row r="35" spans="4:11">
      <c r="D35" s="185" t="s">
        <v>173</v>
      </c>
      <c r="E35" s="126">
        <v>53961</v>
      </c>
      <c r="F35" s="13"/>
      <c r="G35" s="13"/>
      <c r="H35" s="13"/>
    </row>
    <row r="36" spans="4:11">
      <c r="D36" s="117" t="s">
        <v>129</v>
      </c>
      <c r="E36" s="187">
        <f>+E28+E29+E30+E31+E32+E33+E34-E35</f>
        <v>86851.189999999973</v>
      </c>
      <c r="F36" s="13"/>
      <c r="G36" s="13"/>
      <c r="H36" s="13"/>
    </row>
    <row r="37" spans="4:11">
      <c r="D37" s="188" t="s">
        <v>130</v>
      </c>
      <c r="E37" s="128">
        <f>+E36+E23</f>
        <v>4552451.6000000006</v>
      </c>
      <c r="F37" s="13">
        <f>+'FEBRERO 2025'!I158</f>
        <v>4552451.5999999996</v>
      </c>
      <c r="G37" s="13">
        <f>+F37-E37</f>
        <v>0</v>
      </c>
      <c r="H37" s="13"/>
      <c r="K37" s="8"/>
    </row>
    <row r="38" spans="4:11">
      <c r="F38" s="13"/>
      <c r="G38" s="13"/>
      <c r="H38" s="13"/>
    </row>
    <row r="39" spans="4:11">
      <c r="F39" s="13"/>
      <c r="G39" s="13"/>
      <c r="H39" s="13"/>
    </row>
    <row r="40" spans="4:11">
      <c r="D40" s="118" t="s">
        <v>175</v>
      </c>
      <c r="E40" s="189">
        <v>9619428</v>
      </c>
      <c r="F40" s="13"/>
      <c r="G40" s="13"/>
      <c r="H40" s="13"/>
    </row>
    <row r="41" spans="4:11">
      <c r="D41" s="117"/>
      <c r="E41" s="126"/>
    </row>
    <row r="42" spans="4:11">
      <c r="D42" s="117" t="s">
        <v>162</v>
      </c>
      <c r="E42" s="126">
        <f>37017.51+39846.21</f>
        <v>76863.72</v>
      </c>
      <c r="G42" s="8"/>
    </row>
    <row r="43" spans="4:11">
      <c r="D43" s="117" t="s">
        <v>163</v>
      </c>
      <c r="E43" s="190">
        <v>13998</v>
      </c>
      <c r="H43" s="8"/>
    </row>
    <row r="44" spans="4:11">
      <c r="D44" s="117" t="s">
        <v>164</v>
      </c>
      <c r="E44" s="190">
        <v>71783</v>
      </c>
    </row>
    <row r="45" spans="4:11">
      <c r="D45" s="117" t="s">
        <v>165</v>
      </c>
      <c r="E45" s="191">
        <v>295000</v>
      </c>
    </row>
    <row r="46" spans="4:11">
      <c r="D46" s="117" t="s">
        <v>160</v>
      </c>
      <c r="E46" s="191">
        <v>3191</v>
      </c>
      <c r="F46" s="8"/>
      <c r="H46" s="8"/>
    </row>
    <row r="47" spans="4:11">
      <c r="D47" s="117" t="s">
        <v>166</v>
      </c>
      <c r="E47" s="191">
        <v>12614.23</v>
      </c>
      <c r="H47" s="8"/>
    </row>
    <row r="48" spans="4:11" ht="29.25">
      <c r="D48" s="185" t="s">
        <v>167</v>
      </c>
      <c r="E48" s="191">
        <v>55945.77</v>
      </c>
      <c r="F48" s="8"/>
      <c r="G48" s="8"/>
    </row>
    <row r="49" spans="4:9">
      <c r="D49" s="117" t="s">
        <v>168</v>
      </c>
      <c r="E49" s="191">
        <v>1530</v>
      </c>
      <c r="F49" s="8"/>
    </row>
    <row r="50" spans="4:9">
      <c r="D50" s="185" t="s">
        <v>172</v>
      </c>
      <c r="E50" s="126">
        <v>505</v>
      </c>
      <c r="H50" s="8"/>
    </row>
    <row r="51" spans="4:9">
      <c r="D51" s="117" t="s">
        <v>129</v>
      </c>
      <c r="E51" s="187">
        <f>+E42-E43-E44+E45+E47+E49-E48-E46-E50</f>
        <v>240585.17999999996</v>
      </c>
      <c r="G51" s="8"/>
    </row>
    <row r="52" spans="4:9">
      <c r="D52" s="185" t="s">
        <v>169</v>
      </c>
      <c r="E52" s="192">
        <f>+E40+E51</f>
        <v>9860013.1799999997</v>
      </c>
      <c r="I52" s="8"/>
    </row>
    <row r="53" spans="4:9" ht="15.75" thickBot="1">
      <c r="D53" s="193" t="s">
        <v>170</v>
      </c>
      <c r="E53" s="194">
        <v>53961</v>
      </c>
    </row>
    <row r="54" spans="4:9" ht="15.75" thickTop="1">
      <c r="D54" s="193" t="s">
        <v>171</v>
      </c>
      <c r="E54" s="128">
        <f>+E52+E53</f>
        <v>9913974.1799999997</v>
      </c>
      <c r="F54" s="8">
        <f>+'FEBRERO 2025'!J158</f>
        <v>9912449.4299999997</v>
      </c>
      <c r="G54" s="8">
        <f>+E54-F54</f>
        <v>1524.75</v>
      </c>
    </row>
    <row r="60" spans="4:9">
      <c r="F60" s="8"/>
      <c r="G60" s="8"/>
    </row>
    <row r="61" spans="4:9" ht="29.25">
      <c r="D61" s="155" t="s">
        <v>180</v>
      </c>
      <c r="E61" s="124">
        <f>5438859.91+E66</f>
        <v>5501287.9500000002</v>
      </c>
      <c r="G61" s="8"/>
    </row>
    <row r="62" spans="4:9" ht="16.5">
      <c r="D62" s="13"/>
      <c r="E62" s="152"/>
    </row>
    <row r="63" spans="4:9" ht="15.75">
      <c r="D63" s="114" t="s">
        <v>181</v>
      </c>
      <c r="E63" s="124"/>
      <c r="F63" s="8"/>
    </row>
    <row r="64" spans="4:9" ht="15.75">
      <c r="D64" s="184"/>
      <c r="E64" s="124"/>
    </row>
    <row r="65" spans="4:8">
      <c r="D65" s="185" t="s">
        <v>147</v>
      </c>
      <c r="E65" s="186"/>
    </row>
    <row r="66" spans="4:8">
      <c r="D66" s="185" t="s">
        <v>126</v>
      </c>
      <c r="E66" s="124">
        <v>62428.04</v>
      </c>
      <c r="G66" s="8"/>
    </row>
    <row r="67" spans="4:8">
      <c r="D67" s="185" t="s">
        <v>159</v>
      </c>
      <c r="E67" s="124">
        <v>39829.4</v>
      </c>
    </row>
    <row r="68" spans="4:8">
      <c r="D68" s="185" t="s">
        <v>158</v>
      </c>
      <c r="E68" s="124">
        <v>46191.48</v>
      </c>
      <c r="G68" s="8"/>
    </row>
    <row r="69" spans="4:8">
      <c r="D69" s="185" t="s">
        <v>184</v>
      </c>
      <c r="E69" s="124">
        <v>889</v>
      </c>
    </row>
    <row r="70" spans="4:8">
      <c r="D70" s="185" t="s">
        <v>161</v>
      </c>
      <c r="E70" s="124">
        <v>3191</v>
      </c>
      <c r="H70" s="8"/>
    </row>
    <row r="71" spans="4:8" ht="29.25">
      <c r="D71" s="185" t="s">
        <v>167</v>
      </c>
      <c r="E71" s="126">
        <v>18945.439999999999</v>
      </c>
      <c r="G71" s="8"/>
      <c r="H71" s="8"/>
    </row>
    <row r="72" spans="4:8">
      <c r="D72" s="185" t="s">
        <v>128</v>
      </c>
      <c r="E72" s="126">
        <v>4708</v>
      </c>
    </row>
    <row r="73" spans="4:8">
      <c r="D73" s="185" t="s">
        <v>183</v>
      </c>
      <c r="E73" s="126">
        <v>982.75</v>
      </c>
    </row>
    <row r="74" spans="4:8">
      <c r="D74" s="185" t="s">
        <v>174</v>
      </c>
      <c r="E74" s="126">
        <v>505</v>
      </c>
    </row>
    <row r="75" spans="4:8">
      <c r="D75" s="117" t="s">
        <v>129</v>
      </c>
      <c r="E75" s="187">
        <f>-E66-E67-E68+E69+E70-E71-E72+E73+E74</f>
        <v>-166534.61000000002</v>
      </c>
    </row>
    <row r="76" spans="4:8">
      <c r="D76" s="188" t="s">
        <v>130</v>
      </c>
      <c r="E76" s="128">
        <f>+E75+E61</f>
        <v>5334753.34</v>
      </c>
      <c r="F76" s="197">
        <f>+'Marzo 2025'!J158</f>
        <v>5334753.34</v>
      </c>
      <c r="G76" s="8"/>
    </row>
    <row r="79" spans="4:8">
      <c r="D79" s="118" t="s">
        <v>182</v>
      </c>
      <c r="E79" s="189">
        <f>15058287+62428.04</f>
        <v>15120715.039999999</v>
      </c>
    </row>
    <row r="80" spans="4:8">
      <c r="D80" s="117"/>
      <c r="E80" s="126"/>
    </row>
    <row r="81" spans="4:8">
      <c r="D81" s="117" t="s">
        <v>162</v>
      </c>
      <c r="E81" s="126">
        <v>139291.76</v>
      </c>
      <c r="G81" s="8"/>
    </row>
    <row r="82" spans="4:8">
      <c r="D82" s="117" t="s">
        <v>163</v>
      </c>
      <c r="E82" s="190">
        <v>23470</v>
      </c>
      <c r="F82" s="8"/>
    </row>
    <row r="83" spans="4:8">
      <c r="D83" s="117" t="s">
        <v>164</v>
      </c>
      <c r="E83" s="190">
        <v>25831</v>
      </c>
    </row>
    <row r="84" spans="4:8">
      <c r="D84" s="117" t="s">
        <v>165</v>
      </c>
      <c r="E84" s="191">
        <v>295000</v>
      </c>
    </row>
    <row r="85" spans="4:8">
      <c r="D85" s="117" t="s">
        <v>160</v>
      </c>
      <c r="E85" s="191">
        <v>6382</v>
      </c>
      <c r="G85" s="8"/>
    </row>
    <row r="86" spans="4:8">
      <c r="D86" s="117" t="s">
        <v>166</v>
      </c>
      <c r="E86" s="191">
        <v>18907</v>
      </c>
      <c r="H86" s="8"/>
    </row>
    <row r="87" spans="4:8" ht="29.25">
      <c r="D87" s="185" t="s">
        <v>186</v>
      </c>
      <c r="E87" s="191">
        <v>71354.240000000005</v>
      </c>
    </row>
    <row r="88" spans="4:8">
      <c r="D88" s="117" t="s">
        <v>168</v>
      </c>
      <c r="E88" s="191">
        <v>2513</v>
      </c>
    </row>
    <row r="89" spans="4:8">
      <c r="D89" s="185" t="s">
        <v>172</v>
      </c>
      <c r="E89" s="126">
        <v>505</v>
      </c>
      <c r="G89" s="8"/>
    </row>
    <row r="90" spans="4:8">
      <c r="D90" s="185" t="s">
        <v>185</v>
      </c>
      <c r="E90" s="126">
        <v>4407</v>
      </c>
    </row>
    <row r="91" spans="4:8">
      <c r="D91" s="185" t="s">
        <v>184</v>
      </c>
      <c r="E91" s="126">
        <v>888</v>
      </c>
    </row>
    <row r="92" spans="4:8">
      <c r="D92" s="117" t="s">
        <v>129</v>
      </c>
      <c r="E92" s="187">
        <f>-E81-E82-E83+E84+E86-E88+E87-E85-E89-E90-E91</f>
        <v>181973.47999999998</v>
      </c>
      <c r="G92" s="13"/>
    </row>
    <row r="93" spans="4:8">
      <c r="D93" s="185" t="s">
        <v>169</v>
      </c>
      <c r="E93" s="192">
        <f>+E79+E92</f>
        <v>15302688.52</v>
      </c>
      <c r="F93" s="8"/>
    </row>
    <row r="94" spans="4:8" ht="15.75" thickBot="1">
      <c r="D94" s="193" t="s">
        <v>170</v>
      </c>
      <c r="E94" s="194">
        <v>53961</v>
      </c>
    </row>
    <row r="95" spans="4:8" ht="15.75" thickTop="1">
      <c r="D95" s="193" t="s">
        <v>171</v>
      </c>
      <c r="E95" s="128">
        <f>+E93-E94</f>
        <v>15248727.52</v>
      </c>
      <c r="F95" s="197">
        <f>+'Marzo 2025'!K158</f>
        <v>15248726.77</v>
      </c>
      <c r="G95" s="8"/>
      <c r="H95" s="197"/>
    </row>
    <row r="97" spans="4:7" ht="29.25">
      <c r="D97" s="199" t="s">
        <v>189</v>
      </c>
      <c r="E97" s="200"/>
      <c r="F97" s="201"/>
      <c r="G97" s="198"/>
    </row>
    <row r="98" spans="4:7" ht="29.25">
      <c r="D98" s="199" t="s">
        <v>188</v>
      </c>
      <c r="E98" s="200"/>
      <c r="F98" s="201"/>
      <c r="G98" s="198"/>
    </row>
    <row r="104" spans="4:7" ht="29.25">
      <c r="D104" s="155" t="s">
        <v>191</v>
      </c>
      <c r="E104" s="124">
        <v>4956490.43</v>
      </c>
    </row>
    <row r="105" spans="4:7" ht="16.5">
      <c r="D105" s="13"/>
      <c r="E105" s="152"/>
    </row>
    <row r="106" spans="4:7" ht="15.75">
      <c r="D106" s="114" t="s">
        <v>192</v>
      </c>
      <c r="E106" s="124"/>
      <c r="G106" t="s">
        <v>195</v>
      </c>
    </row>
    <row r="107" spans="4:7" ht="15.75">
      <c r="D107" s="184"/>
      <c r="E107" s="124"/>
    </row>
    <row r="108" spans="4:7">
      <c r="D108" s="185" t="s">
        <v>147</v>
      </c>
      <c r="E108" s="186"/>
    </row>
    <row r="109" spans="4:7">
      <c r="D109" s="185" t="s">
        <v>126</v>
      </c>
      <c r="E109" s="124">
        <v>30082.29</v>
      </c>
    </row>
    <row r="110" spans="4:7">
      <c r="D110" s="185" t="s">
        <v>159</v>
      </c>
      <c r="E110" s="124">
        <v>70033.52</v>
      </c>
    </row>
    <row r="111" spans="4:7" ht="29.25">
      <c r="D111" s="185" t="s">
        <v>167</v>
      </c>
      <c r="E111" s="126">
        <v>30694</v>
      </c>
    </row>
    <row r="112" spans="4:7">
      <c r="D112" s="185" t="s">
        <v>128</v>
      </c>
      <c r="E112" s="126">
        <v>9309</v>
      </c>
      <c r="G112" s="8">
        <f>+E104-F117</f>
        <v>-31946.300000000745</v>
      </c>
    </row>
    <row r="113" spans="4:9">
      <c r="D113" s="185" t="s">
        <v>194</v>
      </c>
      <c r="E113" s="126">
        <v>2218.52</v>
      </c>
      <c r="F113">
        <f>+'ABRIL 2025'!K107-21958.76</f>
        <v>-2218.5199999999968</v>
      </c>
    </row>
    <row r="114" spans="4:9">
      <c r="D114" s="185" t="s">
        <v>183</v>
      </c>
      <c r="E114" s="126">
        <v>29676.01</v>
      </c>
    </row>
    <row r="115" spans="4:9">
      <c r="D115" s="185" t="s">
        <v>174</v>
      </c>
      <c r="E115" s="126">
        <v>505</v>
      </c>
    </row>
    <row r="116" spans="4:9">
      <c r="D116" s="117" t="s">
        <v>129</v>
      </c>
      <c r="E116" s="187">
        <f>+E109-E110+E111+E112+E113+E114</f>
        <v>31946.299999999996</v>
      </c>
    </row>
    <row r="117" spans="4:9">
      <c r="D117" s="188" t="s">
        <v>130</v>
      </c>
      <c r="E117" s="128">
        <f>+E104+E116</f>
        <v>4988436.7299999995</v>
      </c>
      <c r="F117" s="197">
        <f>+'ABRIL 2025'!K158</f>
        <v>4988436.7300000004</v>
      </c>
      <c r="G117" s="8">
        <f>+E117-F117</f>
        <v>0</v>
      </c>
    </row>
    <row r="120" spans="4:9">
      <c r="D120" s="118" t="s">
        <v>193</v>
      </c>
      <c r="E120" s="189">
        <v>20040130</v>
      </c>
    </row>
    <row r="121" spans="4:9">
      <c r="D121" s="117"/>
      <c r="E121" s="126"/>
    </row>
    <row r="122" spans="4:9">
      <c r="D122" s="117" t="s">
        <v>162</v>
      </c>
      <c r="E122" s="126">
        <v>132297.56</v>
      </c>
    </row>
    <row r="123" spans="4:9">
      <c r="D123" s="117" t="s">
        <v>163</v>
      </c>
      <c r="E123" s="190">
        <v>23470</v>
      </c>
    </row>
    <row r="124" spans="4:9">
      <c r="D124" s="117" t="s">
        <v>164</v>
      </c>
      <c r="E124" s="190">
        <v>88410</v>
      </c>
      <c r="I124" s="8">
        <f>+E127+G136</f>
        <v>35598.53</v>
      </c>
    </row>
    <row r="125" spans="4:9">
      <c r="D125" s="117" t="s">
        <v>165</v>
      </c>
      <c r="E125" s="191">
        <v>295000</v>
      </c>
      <c r="G125" s="8">
        <f>+E120-F136</f>
        <v>-195509.5</v>
      </c>
    </row>
    <row r="126" spans="4:9">
      <c r="D126" s="117" t="s">
        <v>160</v>
      </c>
      <c r="E126" s="191">
        <v>6382</v>
      </c>
    </row>
    <row r="127" spans="4:9">
      <c r="D127" s="117" t="s">
        <v>166</v>
      </c>
      <c r="E127" s="191">
        <v>35598.53</v>
      </c>
      <c r="F127" s="8">
        <f>+E127-7382.53</f>
        <v>28216</v>
      </c>
      <c r="G127" s="8">
        <f>+E133-195509.5</f>
        <v>53961.000000000029</v>
      </c>
    </row>
    <row r="128" spans="4:9" ht="29.25">
      <c r="D128" s="185" t="s">
        <v>186</v>
      </c>
      <c r="E128" s="191">
        <v>42611</v>
      </c>
      <c r="H128" s="8">
        <f>+E129-7382.53</f>
        <v>14842.940000000002</v>
      </c>
    </row>
    <row r="129" spans="4:8">
      <c r="D129" s="117" t="s">
        <v>168</v>
      </c>
      <c r="E129" s="191">
        <v>22225.47</v>
      </c>
      <c r="G129" s="8">
        <f>+E128-G133</f>
        <v>42611</v>
      </c>
    </row>
    <row r="130" spans="4:8">
      <c r="D130" s="185" t="s">
        <v>172</v>
      </c>
      <c r="E130" s="126">
        <v>505</v>
      </c>
    </row>
    <row r="131" spans="4:8">
      <c r="D131" s="185" t="s">
        <v>185</v>
      </c>
      <c r="E131" s="126">
        <v>2188</v>
      </c>
      <c r="H131" s="8">
        <f>+E129+G133</f>
        <v>22225.47</v>
      </c>
    </row>
    <row r="132" spans="4:8">
      <c r="D132" s="185" t="s">
        <v>184</v>
      </c>
      <c r="E132" s="126">
        <v>888</v>
      </c>
    </row>
    <row r="133" spans="4:8">
      <c r="D133" s="117" t="s">
        <v>129</v>
      </c>
      <c r="E133" s="187">
        <f>+E122-E123-E124+E125-E126-E127-E128+E129-E130-E131-E132</f>
        <v>249470.50000000003</v>
      </c>
      <c r="G133">
        <f>+G136/2</f>
        <v>0</v>
      </c>
    </row>
    <row r="134" spans="4:8">
      <c r="D134" s="185" t="s">
        <v>169</v>
      </c>
      <c r="E134" s="192">
        <f>+E120+E133</f>
        <v>20289600.5</v>
      </c>
    </row>
    <row r="135" spans="4:8" ht="15.75" thickBot="1">
      <c r="D135" s="193" t="s">
        <v>170</v>
      </c>
      <c r="E135" s="194">
        <v>53961</v>
      </c>
    </row>
    <row r="136" spans="4:8" ht="15.75" thickTop="1">
      <c r="D136" s="193" t="s">
        <v>171</v>
      </c>
      <c r="E136" s="128">
        <f>+E134-E135</f>
        <v>20235639.5</v>
      </c>
      <c r="F136" s="197">
        <f>+'ABRIL 2025'!L158</f>
        <v>20235639.5</v>
      </c>
      <c r="G136" s="8">
        <f>+E136-F136</f>
        <v>0</v>
      </c>
    </row>
    <row r="138" spans="4:8">
      <c r="D138" s="199"/>
      <c r="E138" s="200"/>
    </row>
    <row r="139" spans="4:8">
      <c r="D139" s="199"/>
      <c r="E139" s="200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5:P189"/>
  <sheetViews>
    <sheetView topLeftCell="A35" workbookViewId="0">
      <selection activeCell="E44" sqref="E44"/>
    </sheetView>
  </sheetViews>
  <sheetFormatPr baseColWidth="10" defaultRowHeight="15"/>
  <cols>
    <col min="3" max="3" width="30.42578125" customWidth="1"/>
    <col min="4" max="5" width="22" customWidth="1"/>
    <col min="6" max="6" width="23.42578125" customWidth="1"/>
    <col min="7" max="7" width="15" customWidth="1"/>
    <col min="8" max="9" width="13.140625" bestFit="1" customWidth="1"/>
    <col min="11" max="11" width="13.140625" bestFit="1" customWidth="1"/>
    <col min="12" max="12" width="12.28515625" bestFit="1" customWidth="1"/>
  </cols>
  <sheetData>
    <row r="5" spans="3:11">
      <c r="E5" s="12"/>
      <c r="F5" s="12"/>
      <c r="G5" s="12"/>
      <c r="H5" s="12"/>
    </row>
    <row r="6" spans="3:11">
      <c r="E6" s="12"/>
      <c r="F6" s="12"/>
      <c r="G6" s="12"/>
      <c r="H6" s="12"/>
    </row>
    <row r="7" spans="3:11">
      <c r="E7" s="12"/>
      <c r="F7" s="12"/>
      <c r="G7" s="12"/>
      <c r="H7" s="12"/>
    </row>
    <row r="8" spans="3:11">
      <c r="E8" s="12"/>
      <c r="F8" s="12"/>
      <c r="G8" s="17"/>
      <c r="H8" s="17"/>
      <c r="I8" s="13"/>
      <c r="J8" s="13"/>
    </row>
    <row r="9" spans="3:11">
      <c r="E9" s="12"/>
      <c r="F9" s="12"/>
      <c r="G9" s="17"/>
      <c r="H9" s="17"/>
      <c r="I9" s="13"/>
      <c r="J9" s="13"/>
    </row>
    <row r="10" spans="3:11">
      <c r="E10" s="182">
        <f>+D22+D25</f>
        <v>7220</v>
      </c>
      <c r="F10" s="12">
        <v>8000</v>
      </c>
      <c r="G10" s="17"/>
      <c r="H10" s="17"/>
      <c r="I10" s="13"/>
      <c r="J10" s="13"/>
    </row>
    <row r="11" spans="3:11">
      <c r="E11" s="12"/>
      <c r="F11" s="12"/>
      <c r="G11" s="17"/>
      <c r="H11" s="17"/>
      <c r="I11" s="13"/>
      <c r="J11" s="13"/>
      <c r="K11" s="13"/>
    </row>
    <row r="12" spans="3:11">
      <c r="E12" s="12"/>
      <c r="F12" s="12"/>
      <c r="G12" s="17"/>
      <c r="H12" s="17"/>
      <c r="I12" s="13"/>
      <c r="J12" s="13"/>
      <c r="K12" s="13"/>
    </row>
    <row r="13" spans="3:11">
      <c r="E13" s="12"/>
      <c r="F13" s="12"/>
      <c r="G13" s="17"/>
      <c r="H13" s="17"/>
      <c r="I13" s="13"/>
      <c r="J13" s="13"/>
      <c r="K13" s="13"/>
    </row>
    <row r="14" spans="3:11">
      <c r="E14" s="12"/>
      <c r="F14" s="12"/>
      <c r="G14" s="17"/>
      <c r="H14" s="17"/>
      <c r="I14" s="13"/>
      <c r="J14" s="13"/>
      <c r="K14" s="13"/>
    </row>
    <row r="15" spans="3:11" ht="15.75" thickBot="1">
      <c r="E15" s="12"/>
      <c r="F15" s="12"/>
      <c r="G15" s="17"/>
      <c r="H15" s="17"/>
      <c r="I15" s="13"/>
      <c r="J15" s="13"/>
    </row>
    <row r="16" spans="3:11" ht="15.75" thickBot="1">
      <c r="C16" s="134"/>
      <c r="D16" s="141" t="s">
        <v>145</v>
      </c>
      <c r="E16" s="141"/>
      <c r="F16" s="141"/>
      <c r="G16" s="135"/>
      <c r="H16" s="135"/>
      <c r="I16" s="136"/>
      <c r="J16" s="137"/>
      <c r="K16" s="8"/>
    </row>
    <row r="17" spans="3:12">
      <c r="C17" s="138" t="s">
        <v>132</v>
      </c>
      <c r="D17" s="142">
        <f>11000+9000</f>
        <v>20000</v>
      </c>
      <c r="E17" s="142">
        <v>10000</v>
      </c>
      <c r="F17" s="132"/>
      <c r="G17" s="132"/>
      <c r="H17" s="132"/>
      <c r="I17" s="133"/>
      <c r="J17" s="133"/>
    </row>
    <row r="18" spans="3:12">
      <c r="C18" s="139" t="s">
        <v>133</v>
      </c>
      <c r="D18" s="143">
        <f>18000+4000</f>
        <v>22000</v>
      </c>
      <c r="E18" s="143"/>
      <c r="F18" s="130"/>
      <c r="G18" s="130"/>
      <c r="H18" s="130"/>
      <c r="I18" s="131"/>
      <c r="J18" s="131"/>
    </row>
    <row r="19" spans="3:12">
      <c r="C19" s="139" t="s">
        <v>134</v>
      </c>
      <c r="D19" s="143">
        <v>1430</v>
      </c>
      <c r="E19" s="143"/>
      <c r="F19" s="130"/>
      <c r="G19" s="130"/>
      <c r="H19" s="130"/>
      <c r="I19" s="131"/>
      <c r="J19" s="131"/>
    </row>
    <row r="20" spans="3:12">
      <c r="C20" s="139" t="s">
        <v>135</v>
      </c>
      <c r="D20" s="143">
        <v>1220</v>
      </c>
      <c r="E20" s="143">
        <v>1220</v>
      </c>
      <c r="F20" s="130"/>
      <c r="G20" s="130"/>
      <c r="H20" s="130"/>
      <c r="I20" s="131"/>
      <c r="J20" s="131"/>
    </row>
    <row r="21" spans="3:12">
      <c r="C21" s="139" t="s">
        <v>136</v>
      </c>
      <c r="D21" s="143">
        <v>2000</v>
      </c>
      <c r="E21" s="143">
        <v>1500</v>
      </c>
      <c r="F21" s="130"/>
      <c r="G21" s="130"/>
      <c r="H21" s="130"/>
      <c r="I21" s="131"/>
      <c r="J21" s="131"/>
      <c r="K21" s="8"/>
      <c r="L21" s="8"/>
    </row>
    <row r="22" spans="3:12">
      <c r="C22" s="139" t="s">
        <v>137</v>
      </c>
      <c r="D22" s="181">
        <f>4000+2000</f>
        <v>6000</v>
      </c>
      <c r="E22" s="143">
        <v>4500</v>
      </c>
      <c r="F22" s="130"/>
      <c r="G22" s="130"/>
      <c r="H22" s="130"/>
      <c r="I22" s="131"/>
      <c r="J22" s="131"/>
    </row>
    <row r="23" spans="3:12">
      <c r="C23" s="139"/>
      <c r="D23" s="143"/>
      <c r="E23" s="143"/>
      <c r="F23" s="130"/>
      <c r="G23" s="130"/>
      <c r="H23" s="130"/>
      <c r="I23" s="131"/>
      <c r="J23" s="131"/>
    </row>
    <row r="24" spans="3:12">
      <c r="C24" s="139" t="s">
        <v>138</v>
      </c>
      <c r="D24" s="143">
        <v>200</v>
      </c>
      <c r="E24" s="143"/>
      <c r="F24" s="130"/>
      <c r="G24" s="130"/>
      <c r="H24" s="130">
        <v>1056</v>
      </c>
      <c r="I24" s="131"/>
      <c r="J24" s="131"/>
    </row>
    <row r="25" spans="3:12">
      <c r="C25" s="139" t="s">
        <v>139</v>
      </c>
      <c r="D25" s="181">
        <v>1220</v>
      </c>
      <c r="E25" s="143"/>
      <c r="F25" s="130"/>
      <c r="G25" s="130"/>
      <c r="H25" s="130"/>
      <c r="I25" s="131"/>
      <c r="J25" s="131"/>
    </row>
    <row r="26" spans="3:12">
      <c r="C26" s="139" t="s">
        <v>144</v>
      </c>
      <c r="D26" s="143"/>
      <c r="E26" s="143">
        <v>6000</v>
      </c>
      <c r="F26" s="130"/>
      <c r="G26" s="130">
        <v>10000</v>
      </c>
      <c r="H26" s="130"/>
      <c r="I26" s="131"/>
      <c r="J26" s="131"/>
    </row>
    <row r="27" spans="3:12">
      <c r="C27" s="139"/>
      <c r="D27" s="143"/>
      <c r="E27" s="143" t="s">
        <v>176</v>
      </c>
      <c r="F27" s="130"/>
      <c r="G27" s="130">
        <v>2000</v>
      </c>
      <c r="H27" s="130"/>
      <c r="I27" s="131"/>
      <c r="J27" s="131"/>
    </row>
    <row r="28" spans="3:12">
      <c r="C28" s="139"/>
      <c r="D28" s="143">
        <v>2800</v>
      </c>
      <c r="E28" s="143"/>
      <c r="F28" s="130"/>
      <c r="G28" s="130">
        <v>18000</v>
      </c>
      <c r="H28" s="130"/>
      <c r="I28" s="131"/>
      <c r="J28" s="131"/>
    </row>
    <row r="29" spans="3:12">
      <c r="C29" s="139"/>
      <c r="D29" s="143"/>
      <c r="E29" s="143"/>
      <c r="F29" s="130"/>
      <c r="G29" s="130">
        <v>9000</v>
      </c>
      <c r="H29" s="130"/>
      <c r="I29" s="131"/>
      <c r="J29" s="131"/>
      <c r="K29" s="13"/>
    </row>
    <row r="30" spans="3:12">
      <c r="C30" s="139"/>
      <c r="D30" s="143"/>
      <c r="E30" s="143"/>
      <c r="F30" s="130"/>
      <c r="G30" s="130">
        <v>3785</v>
      </c>
      <c r="H30" s="130"/>
      <c r="I30" s="131"/>
      <c r="J30" s="131"/>
      <c r="K30" s="13"/>
    </row>
    <row r="31" spans="3:12">
      <c r="C31" s="139"/>
      <c r="D31" s="143"/>
      <c r="E31" s="143"/>
      <c r="F31" s="130"/>
      <c r="G31" s="130"/>
      <c r="H31" s="130"/>
      <c r="I31" s="131"/>
      <c r="J31" s="131"/>
      <c r="K31" s="13"/>
    </row>
    <row r="32" spans="3:12">
      <c r="C32" s="139"/>
      <c r="D32" s="143"/>
      <c r="E32" s="140"/>
      <c r="F32" s="130"/>
      <c r="G32" s="130"/>
      <c r="H32" s="131"/>
      <c r="I32" s="131"/>
      <c r="J32" s="131"/>
      <c r="K32" s="13"/>
    </row>
    <row r="33" spans="3:12">
      <c r="C33" s="139"/>
      <c r="D33" s="143"/>
      <c r="E33" s="140"/>
      <c r="F33" s="130"/>
      <c r="G33" s="130"/>
      <c r="H33" s="131"/>
      <c r="I33" s="131"/>
      <c r="J33" s="131"/>
      <c r="K33" s="13"/>
    </row>
    <row r="34" spans="3:12">
      <c r="C34" s="139"/>
      <c r="D34" s="143"/>
      <c r="E34" s="140"/>
      <c r="F34" s="130"/>
      <c r="G34" s="130"/>
      <c r="H34" s="131"/>
      <c r="I34" s="131"/>
      <c r="J34" s="131"/>
      <c r="K34" s="13"/>
    </row>
    <row r="35" spans="3:12">
      <c r="C35" s="139"/>
      <c r="D35" s="143"/>
      <c r="E35" s="140"/>
      <c r="F35" s="130"/>
      <c r="G35" s="130"/>
      <c r="H35" s="131"/>
      <c r="I35" s="131"/>
      <c r="J35" s="131"/>
      <c r="K35" s="13"/>
    </row>
    <row r="36" spans="3:12">
      <c r="C36" s="139"/>
      <c r="D36" s="143"/>
      <c r="E36" s="140"/>
      <c r="F36" s="130"/>
      <c r="G36" s="130"/>
      <c r="H36" s="131"/>
      <c r="I36" s="131"/>
      <c r="J36" s="131"/>
      <c r="K36" s="13"/>
    </row>
    <row r="37" spans="3:12">
      <c r="C37" s="139"/>
      <c r="D37" s="143"/>
      <c r="E37" s="140"/>
      <c r="F37" s="130"/>
      <c r="G37" s="130"/>
      <c r="H37" s="131"/>
      <c r="I37" s="131"/>
      <c r="J37" s="131"/>
      <c r="K37" s="13"/>
    </row>
    <row r="38" spans="3:12">
      <c r="C38" s="139"/>
      <c r="D38" s="143"/>
      <c r="E38" s="140"/>
      <c r="F38" s="130"/>
      <c r="G38" s="130"/>
      <c r="H38" s="131"/>
      <c r="I38" s="131"/>
      <c r="J38" s="131"/>
      <c r="K38" s="13"/>
    </row>
    <row r="39" spans="3:12">
      <c r="C39" s="139"/>
      <c r="D39" s="143"/>
      <c r="E39" s="140"/>
      <c r="F39" s="130"/>
      <c r="G39" s="130"/>
      <c r="H39" s="131"/>
      <c r="I39" s="131"/>
      <c r="J39" s="131"/>
      <c r="K39" s="13"/>
    </row>
    <row r="40" spans="3:12" ht="15.75" thickBot="1">
      <c r="C40" s="139" t="s">
        <v>131</v>
      </c>
      <c r="D40" s="144">
        <f>+D17+D18+D19+D20+D21+D22+D23+D24+D25+D26+D27+D28+D29+D30+D31</f>
        <v>56870</v>
      </c>
      <c r="E40" s="144">
        <f>+E17+E20+E21+E22+E26</f>
        <v>23220</v>
      </c>
      <c r="F40" s="144">
        <f t="shared" ref="F40" si="0">+F17+F18+F19+F20+F21+F22+F23+F24+F25+F26+F27+F28+F29+F30+F31</f>
        <v>0</v>
      </c>
      <c r="G40" s="144">
        <f>+G17+G18+G19+G20+G21+G22+G23+G24+G25+G26+G27+G28+G29+G30+G31</f>
        <v>42785</v>
      </c>
      <c r="H40" s="131"/>
      <c r="I40" s="131"/>
      <c r="J40" s="131"/>
      <c r="K40" s="13"/>
      <c r="L40" s="8"/>
    </row>
    <row r="41" spans="3:12">
      <c r="C41" s="8"/>
      <c r="D41" s="13">
        <v>58000</v>
      </c>
      <c r="E41" s="145">
        <f>+D40-67000</f>
        <v>-10130</v>
      </c>
      <c r="F41" s="17"/>
      <c r="G41" s="17">
        <v>48000</v>
      </c>
      <c r="H41" s="13"/>
      <c r="I41" s="13"/>
      <c r="J41" s="13"/>
      <c r="K41" s="13"/>
    </row>
    <row r="42" spans="3:12">
      <c r="D42" s="13">
        <f>+D41-D40</f>
        <v>1130</v>
      </c>
      <c r="E42" s="13"/>
      <c r="F42" s="13"/>
      <c r="G42" s="17"/>
      <c r="H42" s="13"/>
      <c r="I42" s="13"/>
      <c r="J42" s="13"/>
      <c r="K42" s="13"/>
    </row>
    <row r="43" spans="3:12">
      <c r="F43" s="13"/>
      <c r="G43" s="17">
        <f>+G41-G40</f>
        <v>5215</v>
      </c>
      <c r="H43" s="13">
        <v>1376</v>
      </c>
      <c r="I43" s="13"/>
      <c r="J43" s="13"/>
      <c r="K43" s="13"/>
    </row>
    <row r="44" spans="3:12">
      <c r="C44" s="8">
        <f>+D18+D19+D21+D22+D23+D24+D25</f>
        <v>32850</v>
      </c>
      <c r="D44" t="s">
        <v>140</v>
      </c>
      <c r="E44" s="8">
        <f>+F42+G41</f>
        <v>48000</v>
      </c>
      <c r="F44" s="13"/>
      <c r="G44" s="17"/>
      <c r="H44" s="13">
        <v>2539</v>
      </c>
      <c r="I44" s="13"/>
      <c r="J44" s="13"/>
      <c r="K44" s="13"/>
    </row>
    <row r="45" spans="3:12">
      <c r="F45" s="13"/>
      <c r="G45" s="17"/>
      <c r="H45" s="13">
        <v>2006.96</v>
      </c>
      <c r="I45" s="13"/>
      <c r="J45" s="13"/>
      <c r="K45" s="13"/>
    </row>
    <row r="46" spans="3:12">
      <c r="F46" s="13">
        <f>+F47-105000</f>
        <v>31260</v>
      </c>
      <c r="G46" s="17"/>
      <c r="H46" s="13">
        <v>1600</v>
      </c>
      <c r="I46" s="13"/>
      <c r="J46" s="13"/>
      <c r="K46" s="13"/>
    </row>
    <row r="47" spans="3:12">
      <c r="D47" s="13"/>
      <c r="E47" s="13"/>
      <c r="F47" s="13">
        <f>3785*36</f>
        <v>136260</v>
      </c>
      <c r="G47" s="17"/>
      <c r="H47" s="13">
        <v>1500</v>
      </c>
      <c r="I47" s="13"/>
      <c r="J47" s="13"/>
      <c r="K47" s="13"/>
    </row>
    <row r="48" spans="3:12">
      <c r="D48" s="13"/>
      <c r="E48" s="13"/>
      <c r="F48" s="13">
        <f>12+12+12</f>
        <v>36</v>
      </c>
      <c r="G48" s="17"/>
      <c r="H48" s="13"/>
      <c r="I48" s="13"/>
      <c r="J48" s="13"/>
      <c r="K48" s="13"/>
    </row>
    <row r="49" spans="4:16">
      <c r="D49" s="13"/>
      <c r="E49" s="13"/>
      <c r="F49" s="13"/>
      <c r="G49" s="17"/>
      <c r="H49" s="13">
        <f>+H43+H44+H45+H46+H47</f>
        <v>9021.9599999999991</v>
      </c>
      <c r="I49" s="13"/>
      <c r="J49" s="13"/>
      <c r="K49" s="13"/>
    </row>
    <row r="50" spans="4:16">
      <c r="D50" s="13"/>
      <c r="E50" s="13"/>
      <c r="F50" s="13"/>
      <c r="G50" s="17"/>
      <c r="H50" s="13"/>
      <c r="I50" s="13"/>
      <c r="J50" s="13"/>
      <c r="K50" s="13"/>
    </row>
    <row r="51" spans="4:16">
      <c r="D51" s="13"/>
      <c r="E51" s="13"/>
      <c r="F51" s="13"/>
      <c r="G51" s="17"/>
      <c r="H51" s="13"/>
      <c r="I51" s="13"/>
      <c r="J51" s="13"/>
      <c r="K51" s="13"/>
    </row>
    <row r="52" spans="4:16">
      <c r="D52" s="13"/>
      <c r="E52" s="13">
        <v>3500</v>
      </c>
      <c r="F52" s="13"/>
      <c r="G52" s="13">
        <v>4000</v>
      </c>
      <c r="H52" s="13">
        <v>2500</v>
      </c>
      <c r="I52" s="13"/>
      <c r="J52" s="13"/>
      <c r="K52" s="13"/>
    </row>
    <row r="53" spans="4:16">
      <c r="D53" s="13"/>
      <c r="E53" s="13">
        <v>3700</v>
      </c>
      <c r="F53" s="13"/>
      <c r="G53" s="13">
        <v>19000</v>
      </c>
      <c r="H53" s="13">
        <v>2500</v>
      </c>
      <c r="I53" s="13"/>
      <c r="J53" s="13">
        <f>50057.15-11900</f>
        <v>38157.15</v>
      </c>
      <c r="K53" s="13">
        <f>+J53-10000</f>
        <v>28157.15</v>
      </c>
    </row>
    <row r="54" spans="4:16">
      <c r="D54" s="13"/>
      <c r="E54" s="13">
        <v>2000</v>
      </c>
      <c r="F54" s="13"/>
      <c r="G54" s="13">
        <v>5000</v>
      </c>
      <c r="H54" s="13">
        <v>2500</v>
      </c>
      <c r="I54" s="13"/>
      <c r="J54" s="13"/>
      <c r="K54" s="13"/>
    </row>
    <row r="55" spans="4:16">
      <c r="D55" s="13"/>
      <c r="E55" s="13">
        <v>2000</v>
      </c>
      <c r="F55" s="13"/>
      <c r="G55" s="13">
        <v>18000</v>
      </c>
      <c r="H55" s="13"/>
      <c r="I55" s="13"/>
      <c r="J55" s="13"/>
      <c r="K55" s="13"/>
    </row>
    <row r="56" spans="4:16">
      <c r="D56" s="13"/>
      <c r="E56" s="13">
        <v>2650</v>
      </c>
      <c r="F56" s="13"/>
      <c r="G56" s="13">
        <v>1220</v>
      </c>
      <c r="H56" s="13"/>
      <c r="I56" s="13"/>
      <c r="J56" s="13"/>
      <c r="K56" s="13"/>
    </row>
    <row r="57" spans="4:16">
      <c r="D57" s="13"/>
      <c r="E57" s="13"/>
      <c r="F57" s="13"/>
      <c r="G57" s="13">
        <v>1200</v>
      </c>
      <c r="H57" s="13"/>
      <c r="I57" s="13"/>
      <c r="J57" s="13"/>
      <c r="K57" s="13"/>
    </row>
    <row r="58" spans="4:16">
      <c r="D58" s="13"/>
      <c r="E58" s="13">
        <f>+E52+E53+E54+E55+E56</f>
        <v>13850</v>
      </c>
      <c r="F58" s="13">
        <f>+E58-60000</f>
        <v>-46150</v>
      </c>
      <c r="G58" s="13">
        <v>1430</v>
      </c>
      <c r="H58" s="13"/>
      <c r="I58" s="13"/>
      <c r="J58" s="13"/>
      <c r="K58" s="13"/>
    </row>
    <row r="59" spans="4:16">
      <c r="D59" s="13"/>
      <c r="E59" s="13"/>
      <c r="F59" s="13"/>
      <c r="G59" s="13"/>
      <c r="H59" s="13"/>
      <c r="I59" s="13">
        <f>+H52+H53+H54</f>
        <v>7500</v>
      </c>
      <c r="J59" s="13"/>
      <c r="K59" s="13"/>
      <c r="L59" s="13"/>
      <c r="M59" s="13"/>
      <c r="N59" s="13"/>
      <c r="O59" s="13"/>
      <c r="P59" s="13"/>
    </row>
    <row r="60" spans="4:16">
      <c r="D60" s="13"/>
      <c r="E60" s="13"/>
      <c r="F60" s="13"/>
      <c r="G60" s="13">
        <f>+G52+G53+G54+G55+G56+G57+G58</f>
        <v>49850</v>
      </c>
      <c r="H60" s="13">
        <f>+G60-67000</f>
        <v>-17150</v>
      </c>
      <c r="I60" s="13"/>
      <c r="J60" s="13"/>
      <c r="K60" s="13"/>
      <c r="L60" s="13"/>
      <c r="M60" s="13"/>
      <c r="N60" s="13"/>
      <c r="O60" s="13"/>
      <c r="P60" s="13"/>
    </row>
    <row r="61" spans="4:16">
      <c r="D61" s="13"/>
      <c r="E61" s="13"/>
      <c r="F61" s="13"/>
      <c r="G61" s="13"/>
      <c r="H61" s="13"/>
      <c r="I61" s="13">
        <f>17150-7500</f>
        <v>9650</v>
      </c>
      <c r="J61" s="13"/>
      <c r="K61" s="13"/>
      <c r="L61" s="13"/>
      <c r="M61" s="13"/>
      <c r="N61" s="13"/>
      <c r="O61" s="13"/>
      <c r="P61" s="13"/>
    </row>
    <row r="62" spans="4:16"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4:16">
      <c r="D63" s="13"/>
      <c r="E63" s="13"/>
      <c r="F63" s="13"/>
      <c r="G63" s="13"/>
      <c r="H63" s="13"/>
      <c r="I63" s="13">
        <f>46150+9650</f>
        <v>55800</v>
      </c>
      <c r="J63" s="13"/>
      <c r="K63" s="13"/>
      <c r="L63" s="13"/>
      <c r="M63" s="13"/>
      <c r="N63" s="13"/>
      <c r="O63" s="13"/>
      <c r="P63" s="13"/>
    </row>
    <row r="64" spans="4:16"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4:16">
      <c r="D65" s="13"/>
      <c r="E65" s="13"/>
      <c r="F65" s="13">
        <f>500*12</f>
        <v>6000</v>
      </c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4:16"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4:16"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4:16"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4:16"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4:16"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4:16"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4:16"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4:16"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4:16"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4:16"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4:16"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4:16"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4:16"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4:16"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4:16"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4:16"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4:16"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4:16"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4:16"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4:16"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4:16"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4:16"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4:16"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4:16"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4:16"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4:16"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4:16"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4:16"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4:16"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4:16"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4:16"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4:16"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4:16"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4:16"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4:16"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4:16"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4:16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4:16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4:16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4:16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4:16"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4:16"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4:16"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4:16"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4:16"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4:16"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4:16"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4:16"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4:16"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4:16"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4:16"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4:16"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4:16"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4:16"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4:16"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4:16"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4:16"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4:16"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4:16"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4:16"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4:16"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4:16"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4:16"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4:16"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4:16"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4:16"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4:16"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4:16"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4:16"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4:16"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4:16"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4:16"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4:16"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4:16"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4:16"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4:16"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4:16"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4:16"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4:16"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4:16"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4:16"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4:16"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4:16"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4:16"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4:16"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4:16"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4:16"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4:16"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4:16"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4:16"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4:16"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4:16"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4:16"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4:16"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4:16"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4:16"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4:16"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4:16"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4:16"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4:16"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4:16"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4:16"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4:16"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4:16"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4:16"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4:16"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4:16"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4:16"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4:16"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4:16"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4:16"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4:16"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4:16"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4:16"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4:16"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4:16"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4:16"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4:16"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4:16"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4:16"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4:16"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4:16"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4:16"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4:16"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58"/>
  <sheetViews>
    <sheetView workbookViewId="0">
      <selection activeCell="H10" sqref="H10:H158"/>
    </sheetView>
  </sheetViews>
  <sheetFormatPr baseColWidth="10" defaultColWidth="11.42578125" defaultRowHeight="15"/>
  <cols>
    <col min="1" max="1" width="6.7109375" customWidth="1"/>
    <col min="2" max="2" width="9.42578125" customWidth="1"/>
    <col min="3" max="3" width="7.42578125" bestFit="1" customWidth="1"/>
    <col min="4" max="4" width="5.7109375" customWidth="1"/>
    <col min="5" max="5" width="4.5703125" customWidth="1"/>
    <col min="6" max="6" width="44.85546875" customWidth="1"/>
    <col min="7" max="7" width="16.7109375" customWidth="1"/>
    <col min="8" max="8" width="19" style="14" customWidth="1"/>
    <col min="9" max="10" width="17.5703125" style="14" customWidth="1"/>
    <col min="11" max="11" width="15.7109375" hidden="1" customWidth="1"/>
    <col min="12" max="12" width="16.140625" customWidth="1"/>
    <col min="216" max="216" width="4.85546875" bestFit="1" customWidth="1"/>
    <col min="217" max="217" width="5.85546875" bestFit="1" customWidth="1"/>
    <col min="218" max="218" width="7.42578125" bestFit="1" customWidth="1"/>
    <col min="219" max="219" width="8.140625" bestFit="1" customWidth="1"/>
    <col min="220" max="220" width="4.5703125" bestFit="1" customWidth="1"/>
    <col min="221" max="221" width="57.5703125" customWidth="1"/>
    <col min="222" max="222" width="14.28515625" customWidth="1"/>
    <col min="223" max="223" width="0.85546875" customWidth="1"/>
    <col min="224" max="224" width="16.5703125" bestFit="1" customWidth="1"/>
    <col min="225" max="225" width="13.42578125" bestFit="1" customWidth="1"/>
    <col min="472" max="472" width="4.85546875" bestFit="1" customWidth="1"/>
    <col min="473" max="473" width="5.85546875" bestFit="1" customWidth="1"/>
    <col min="474" max="474" width="7.42578125" bestFit="1" customWidth="1"/>
    <col min="475" max="475" width="8.140625" bestFit="1" customWidth="1"/>
    <col min="476" max="476" width="4.5703125" bestFit="1" customWidth="1"/>
    <col min="477" max="477" width="57.5703125" customWidth="1"/>
    <col min="478" max="478" width="14.28515625" customWidth="1"/>
    <col min="479" max="479" width="0.85546875" customWidth="1"/>
    <col min="480" max="480" width="16.5703125" bestFit="1" customWidth="1"/>
    <col min="481" max="481" width="13.42578125" bestFit="1" customWidth="1"/>
    <col min="728" max="728" width="4.85546875" bestFit="1" customWidth="1"/>
    <col min="729" max="729" width="5.85546875" bestFit="1" customWidth="1"/>
    <col min="730" max="730" width="7.42578125" bestFit="1" customWidth="1"/>
    <col min="731" max="731" width="8.140625" bestFit="1" customWidth="1"/>
    <col min="732" max="732" width="4.5703125" bestFit="1" customWidth="1"/>
    <col min="733" max="733" width="57.5703125" customWidth="1"/>
    <col min="734" max="734" width="14.28515625" customWidth="1"/>
    <col min="735" max="735" width="0.85546875" customWidth="1"/>
    <col min="736" max="736" width="16.5703125" bestFit="1" customWidth="1"/>
    <col min="737" max="737" width="13.42578125" bestFit="1" customWidth="1"/>
    <col min="984" max="984" width="4.85546875" bestFit="1" customWidth="1"/>
    <col min="985" max="985" width="5.85546875" bestFit="1" customWidth="1"/>
    <col min="986" max="986" width="7.42578125" bestFit="1" customWidth="1"/>
    <col min="987" max="987" width="8.140625" bestFit="1" customWidth="1"/>
    <col min="988" max="988" width="4.5703125" bestFit="1" customWidth="1"/>
    <col min="989" max="989" width="57.5703125" customWidth="1"/>
    <col min="990" max="990" width="14.28515625" customWidth="1"/>
    <col min="991" max="991" width="0.85546875" customWidth="1"/>
    <col min="992" max="992" width="16.5703125" bestFit="1" customWidth="1"/>
    <col min="993" max="993" width="13.42578125" bestFit="1" customWidth="1"/>
    <col min="1240" max="1240" width="4.85546875" bestFit="1" customWidth="1"/>
    <col min="1241" max="1241" width="5.85546875" bestFit="1" customWidth="1"/>
    <col min="1242" max="1242" width="7.42578125" bestFit="1" customWidth="1"/>
    <col min="1243" max="1243" width="8.140625" bestFit="1" customWidth="1"/>
    <col min="1244" max="1244" width="4.5703125" bestFit="1" customWidth="1"/>
    <col min="1245" max="1245" width="57.5703125" customWidth="1"/>
    <col min="1246" max="1246" width="14.28515625" customWidth="1"/>
    <col min="1247" max="1247" width="0.85546875" customWidth="1"/>
    <col min="1248" max="1248" width="16.5703125" bestFit="1" customWidth="1"/>
    <col min="1249" max="1249" width="13.42578125" bestFit="1" customWidth="1"/>
    <col min="1496" max="1496" width="4.85546875" bestFit="1" customWidth="1"/>
    <col min="1497" max="1497" width="5.85546875" bestFit="1" customWidth="1"/>
    <col min="1498" max="1498" width="7.42578125" bestFit="1" customWidth="1"/>
    <col min="1499" max="1499" width="8.140625" bestFit="1" customWidth="1"/>
    <col min="1500" max="1500" width="4.5703125" bestFit="1" customWidth="1"/>
    <col min="1501" max="1501" width="57.5703125" customWidth="1"/>
    <col min="1502" max="1502" width="14.28515625" customWidth="1"/>
    <col min="1503" max="1503" width="0.85546875" customWidth="1"/>
    <col min="1504" max="1504" width="16.5703125" bestFit="1" customWidth="1"/>
    <col min="1505" max="1505" width="13.42578125" bestFit="1" customWidth="1"/>
    <col min="1752" max="1752" width="4.85546875" bestFit="1" customWidth="1"/>
    <col min="1753" max="1753" width="5.85546875" bestFit="1" customWidth="1"/>
    <col min="1754" max="1754" width="7.42578125" bestFit="1" customWidth="1"/>
    <col min="1755" max="1755" width="8.140625" bestFit="1" customWidth="1"/>
    <col min="1756" max="1756" width="4.5703125" bestFit="1" customWidth="1"/>
    <col min="1757" max="1757" width="57.5703125" customWidth="1"/>
    <col min="1758" max="1758" width="14.28515625" customWidth="1"/>
    <col min="1759" max="1759" width="0.85546875" customWidth="1"/>
    <col min="1760" max="1760" width="16.5703125" bestFit="1" customWidth="1"/>
    <col min="1761" max="1761" width="13.42578125" bestFit="1" customWidth="1"/>
    <col min="2008" max="2008" width="4.85546875" bestFit="1" customWidth="1"/>
    <col min="2009" max="2009" width="5.85546875" bestFit="1" customWidth="1"/>
    <col min="2010" max="2010" width="7.42578125" bestFit="1" customWidth="1"/>
    <col min="2011" max="2011" width="8.140625" bestFit="1" customWidth="1"/>
    <col min="2012" max="2012" width="4.5703125" bestFit="1" customWidth="1"/>
    <col min="2013" max="2013" width="57.5703125" customWidth="1"/>
    <col min="2014" max="2014" width="14.28515625" customWidth="1"/>
    <col min="2015" max="2015" width="0.85546875" customWidth="1"/>
    <col min="2016" max="2016" width="16.5703125" bestFit="1" customWidth="1"/>
    <col min="2017" max="2017" width="13.42578125" bestFit="1" customWidth="1"/>
    <col min="2264" max="2264" width="4.85546875" bestFit="1" customWidth="1"/>
    <col min="2265" max="2265" width="5.85546875" bestFit="1" customWidth="1"/>
    <col min="2266" max="2266" width="7.42578125" bestFit="1" customWidth="1"/>
    <col min="2267" max="2267" width="8.140625" bestFit="1" customWidth="1"/>
    <col min="2268" max="2268" width="4.5703125" bestFit="1" customWidth="1"/>
    <col min="2269" max="2269" width="57.5703125" customWidth="1"/>
    <col min="2270" max="2270" width="14.28515625" customWidth="1"/>
    <col min="2271" max="2271" width="0.85546875" customWidth="1"/>
    <col min="2272" max="2272" width="16.5703125" bestFit="1" customWidth="1"/>
    <col min="2273" max="2273" width="13.42578125" bestFit="1" customWidth="1"/>
    <col min="2520" max="2520" width="4.85546875" bestFit="1" customWidth="1"/>
    <col min="2521" max="2521" width="5.85546875" bestFit="1" customWidth="1"/>
    <col min="2522" max="2522" width="7.42578125" bestFit="1" customWidth="1"/>
    <col min="2523" max="2523" width="8.140625" bestFit="1" customWidth="1"/>
    <col min="2524" max="2524" width="4.5703125" bestFit="1" customWidth="1"/>
    <col min="2525" max="2525" width="57.5703125" customWidth="1"/>
    <col min="2526" max="2526" width="14.28515625" customWidth="1"/>
    <col min="2527" max="2527" width="0.85546875" customWidth="1"/>
    <col min="2528" max="2528" width="16.5703125" bestFit="1" customWidth="1"/>
    <col min="2529" max="2529" width="13.42578125" bestFit="1" customWidth="1"/>
    <col min="2776" max="2776" width="4.85546875" bestFit="1" customWidth="1"/>
    <col min="2777" max="2777" width="5.85546875" bestFit="1" customWidth="1"/>
    <col min="2778" max="2778" width="7.42578125" bestFit="1" customWidth="1"/>
    <col min="2779" max="2779" width="8.140625" bestFit="1" customWidth="1"/>
    <col min="2780" max="2780" width="4.5703125" bestFit="1" customWidth="1"/>
    <col min="2781" max="2781" width="57.5703125" customWidth="1"/>
    <col min="2782" max="2782" width="14.28515625" customWidth="1"/>
    <col min="2783" max="2783" width="0.85546875" customWidth="1"/>
    <col min="2784" max="2784" width="16.5703125" bestFit="1" customWidth="1"/>
    <col min="2785" max="2785" width="13.42578125" bestFit="1" customWidth="1"/>
    <col min="3032" max="3032" width="4.85546875" bestFit="1" customWidth="1"/>
    <col min="3033" max="3033" width="5.85546875" bestFit="1" customWidth="1"/>
    <col min="3034" max="3034" width="7.42578125" bestFit="1" customWidth="1"/>
    <col min="3035" max="3035" width="8.140625" bestFit="1" customWidth="1"/>
    <col min="3036" max="3036" width="4.5703125" bestFit="1" customWidth="1"/>
    <col min="3037" max="3037" width="57.5703125" customWidth="1"/>
    <col min="3038" max="3038" width="14.28515625" customWidth="1"/>
    <col min="3039" max="3039" width="0.85546875" customWidth="1"/>
    <col min="3040" max="3040" width="16.5703125" bestFit="1" customWidth="1"/>
    <col min="3041" max="3041" width="13.42578125" bestFit="1" customWidth="1"/>
    <col min="3288" max="3288" width="4.85546875" bestFit="1" customWidth="1"/>
    <col min="3289" max="3289" width="5.85546875" bestFit="1" customWidth="1"/>
    <col min="3290" max="3290" width="7.42578125" bestFit="1" customWidth="1"/>
    <col min="3291" max="3291" width="8.140625" bestFit="1" customWidth="1"/>
    <col min="3292" max="3292" width="4.5703125" bestFit="1" customWidth="1"/>
    <col min="3293" max="3293" width="57.5703125" customWidth="1"/>
    <col min="3294" max="3294" width="14.28515625" customWidth="1"/>
    <col min="3295" max="3295" width="0.85546875" customWidth="1"/>
    <col min="3296" max="3296" width="16.5703125" bestFit="1" customWidth="1"/>
    <col min="3297" max="3297" width="13.42578125" bestFit="1" customWidth="1"/>
    <col min="3544" max="3544" width="4.85546875" bestFit="1" customWidth="1"/>
    <col min="3545" max="3545" width="5.85546875" bestFit="1" customWidth="1"/>
    <col min="3546" max="3546" width="7.42578125" bestFit="1" customWidth="1"/>
    <col min="3547" max="3547" width="8.140625" bestFit="1" customWidth="1"/>
    <col min="3548" max="3548" width="4.5703125" bestFit="1" customWidth="1"/>
    <col min="3549" max="3549" width="57.5703125" customWidth="1"/>
    <col min="3550" max="3550" width="14.28515625" customWidth="1"/>
    <col min="3551" max="3551" width="0.85546875" customWidth="1"/>
    <col min="3552" max="3552" width="16.5703125" bestFit="1" customWidth="1"/>
    <col min="3553" max="3553" width="13.42578125" bestFit="1" customWidth="1"/>
    <col min="3800" max="3800" width="4.85546875" bestFit="1" customWidth="1"/>
    <col min="3801" max="3801" width="5.85546875" bestFit="1" customWidth="1"/>
    <col min="3802" max="3802" width="7.42578125" bestFit="1" customWidth="1"/>
    <col min="3803" max="3803" width="8.140625" bestFit="1" customWidth="1"/>
    <col min="3804" max="3804" width="4.5703125" bestFit="1" customWidth="1"/>
    <col min="3805" max="3805" width="57.5703125" customWidth="1"/>
    <col min="3806" max="3806" width="14.28515625" customWidth="1"/>
    <col min="3807" max="3807" width="0.85546875" customWidth="1"/>
    <col min="3808" max="3808" width="16.5703125" bestFit="1" customWidth="1"/>
    <col min="3809" max="3809" width="13.42578125" bestFit="1" customWidth="1"/>
    <col min="4056" max="4056" width="4.85546875" bestFit="1" customWidth="1"/>
    <col min="4057" max="4057" width="5.85546875" bestFit="1" customWidth="1"/>
    <col min="4058" max="4058" width="7.42578125" bestFit="1" customWidth="1"/>
    <col min="4059" max="4059" width="8.140625" bestFit="1" customWidth="1"/>
    <col min="4060" max="4060" width="4.5703125" bestFit="1" customWidth="1"/>
    <col min="4061" max="4061" width="57.5703125" customWidth="1"/>
    <col min="4062" max="4062" width="14.28515625" customWidth="1"/>
    <col min="4063" max="4063" width="0.85546875" customWidth="1"/>
    <col min="4064" max="4064" width="16.5703125" bestFit="1" customWidth="1"/>
    <col min="4065" max="4065" width="13.42578125" bestFit="1" customWidth="1"/>
    <col min="4312" max="4312" width="4.85546875" bestFit="1" customWidth="1"/>
    <col min="4313" max="4313" width="5.85546875" bestFit="1" customWidth="1"/>
    <col min="4314" max="4314" width="7.42578125" bestFit="1" customWidth="1"/>
    <col min="4315" max="4315" width="8.140625" bestFit="1" customWidth="1"/>
    <col min="4316" max="4316" width="4.5703125" bestFit="1" customWidth="1"/>
    <col min="4317" max="4317" width="57.5703125" customWidth="1"/>
    <col min="4318" max="4318" width="14.28515625" customWidth="1"/>
    <col min="4319" max="4319" width="0.85546875" customWidth="1"/>
    <col min="4320" max="4320" width="16.5703125" bestFit="1" customWidth="1"/>
    <col min="4321" max="4321" width="13.42578125" bestFit="1" customWidth="1"/>
    <col min="4568" max="4568" width="4.85546875" bestFit="1" customWidth="1"/>
    <col min="4569" max="4569" width="5.85546875" bestFit="1" customWidth="1"/>
    <col min="4570" max="4570" width="7.42578125" bestFit="1" customWidth="1"/>
    <col min="4571" max="4571" width="8.140625" bestFit="1" customWidth="1"/>
    <col min="4572" max="4572" width="4.5703125" bestFit="1" customWidth="1"/>
    <col min="4573" max="4573" width="57.5703125" customWidth="1"/>
    <col min="4574" max="4574" width="14.28515625" customWidth="1"/>
    <col min="4575" max="4575" width="0.85546875" customWidth="1"/>
    <col min="4576" max="4576" width="16.5703125" bestFit="1" customWidth="1"/>
    <col min="4577" max="4577" width="13.42578125" bestFit="1" customWidth="1"/>
    <col min="4824" max="4824" width="4.85546875" bestFit="1" customWidth="1"/>
    <col min="4825" max="4825" width="5.85546875" bestFit="1" customWidth="1"/>
    <col min="4826" max="4826" width="7.42578125" bestFit="1" customWidth="1"/>
    <col min="4827" max="4827" width="8.140625" bestFit="1" customWidth="1"/>
    <col min="4828" max="4828" width="4.5703125" bestFit="1" customWidth="1"/>
    <col min="4829" max="4829" width="57.5703125" customWidth="1"/>
    <col min="4830" max="4830" width="14.28515625" customWidth="1"/>
    <col min="4831" max="4831" width="0.85546875" customWidth="1"/>
    <col min="4832" max="4832" width="16.5703125" bestFit="1" customWidth="1"/>
    <col min="4833" max="4833" width="13.42578125" bestFit="1" customWidth="1"/>
    <col min="5080" max="5080" width="4.85546875" bestFit="1" customWidth="1"/>
    <col min="5081" max="5081" width="5.85546875" bestFit="1" customWidth="1"/>
    <col min="5082" max="5082" width="7.42578125" bestFit="1" customWidth="1"/>
    <col min="5083" max="5083" width="8.140625" bestFit="1" customWidth="1"/>
    <col min="5084" max="5084" width="4.5703125" bestFit="1" customWidth="1"/>
    <col min="5085" max="5085" width="57.5703125" customWidth="1"/>
    <col min="5086" max="5086" width="14.28515625" customWidth="1"/>
    <col min="5087" max="5087" width="0.85546875" customWidth="1"/>
    <col min="5088" max="5088" width="16.5703125" bestFit="1" customWidth="1"/>
    <col min="5089" max="5089" width="13.42578125" bestFit="1" customWidth="1"/>
    <col min="5336" max="5336" width="4.85546875" bestFit="1" customWidth="1"/>
    <col min="5337" max="5337" width="5.85546875" bestFit="1" customWidth="1"/>
    <col min="5338" max="5338" width="7.42578125" bestFit="1" customWidth="1"/>
    <col min="5339" max="5339" width="8.140625" bestFit="1" customWidth="1"/>
    <col min="5340" max="5340" width="4.5703125" bestFit="1" customWidth="1"/>
    <col min="5341" max="5341" width="57.5703125" customWidth="1"/>
    <col min="5342" max="5342" width="14.28515625" customWidth="1"/>
    <col min="5343" max="5343" width="0.85546875" customWidth="1"/>
    <col min="5344" max="5344" width="16.5703125" bestFit="1" customWidth="1"/>
    <col min="5345" max="5345" width="13.42578125" bestFit="1" customWidth="1"/>
    <col min="5592" max="5592" width="4.85546875" bestFit="1" customWidth="1"/>
    <col min="5593" max="5593" width="5.85546875" bestFit="1" customWidth="1"/>
    <col min="5594" max="5594" width="7.42578125" bestFit="1" customWidth="1"/>
    <col min="5595" max="5595" width="8.140625" bestFit="1" customWidth="1"/>
    <col min="5596" max="5596" width="4.5703125" bestFit="1" customWidth="1"/>
    <col min="5597" max="5597" width="57.5703125" customWidth="1"/>
    <col min="5598" max="5598" width="14.28515625" customWidth="1"/>
    <col min="5599" max="5599" width="0.85546875" customWidth="1"/>
    <col min="5600" max="5600" width="16.5703125" bestFit="1" customWidth="1"/>
    <col min="5601" max="5601" width="13.42578125" bestFit="1" customWidth="1"/>
    <col min="5848" max="5848" width="4.85546875" bestFit="1" customWidth="1"/>
    <col min="5849" max="5849" width="5.85546875" bestFit="1" customWidth="1"/>
    <col min="5850" max="5850" width="7.42578125" bestFit="1" customWidth="1"/>
    <col min="5851" max="5851" width="8.140625" bestFit="1" customWidth="1"/>
    <col min="5852" max="5852" width="4.5703125" bestFit="1" customWidth="1"/>
    <col min="5853" max="5853" width="57.5703125" customWidth="1"/>
    <col min="5854" max="5854" width="14.28515625" customWidth="1"/>
    <col min="5855" max="5855" width="0.85546875" customWidth="1"/>
    <col min="5856" max="5856" width="16.5703125" bestFit="1" customWidth="1"/>
    <col min="5857" max="5857" width="13.42578125" bestFit="1" customWidth="1"/>
    <col min="6104" max="6104" width="4.85546875" bestFit="1" customWidth="1"/>
    <col min="6105" max="6105" width="5.85546875" bestFit="1" customWidth="1"/>
    <col min="6106" max="6106" width="7.42578125" bestFit="1" customWidth="1"/>
    <col min="6107" max="6107" width="8.140625" bestFit="1" customWidth="1"/>
    <col min="6108" max="6108" width="4.5703125" bestFit="1" customWidth="1"/>
    <col min="6109" max="6109" width="57.5703125" customWidth="1"/>
    <col min="6110" max="6110" width="14.28515625" customWidth="1"/>
    <col min="6111" max="6111" width="0.85546875" customWidth="1"/>
    <col min="6112" max="6112" width="16.5703125" bestFit="1" customWidth="1"/>
    <col min="6113" max="6113" width="13.42578125" bestFit="1" customWidth="1"/>
    <col min="6360" max="6360" width="4.85546875" bestFit="1" customWidth="1"/>
    <col min="6361" max="6361" width="5.85546875" bestFit="1" customWidth="1"/>
    <col min="6362" max="6362" width="7.42578125" bestFit="1" customWidth="1"/>
    <col min="6363" max="6363" width="8.140625" bestFit="1" customWidth="1"/>
    <col min="6364" max="6364" width="4.5703125" bestFit="1" customWidth="1"/>
    <col min="6365" max="6365" width="57.5703125" customWidth="1"/>
    <col min="6366" max="6366" width="14.28515625" customWidth="1"/>
    <col min="6367" max="6367" width="0.85546875" customWidth="1"/>
    <col min="6368" max="6368" width="16.5703125" bestFit="1" customWidth="1"/>
    <col min="6369" max="6369" width="13.42578125" bestFit="1" customWidth="1"/>
    <col min="6616" max="6616" width="4.85546875" bestFit="1" customWidth="1"/>
    <col min="6617" max="6617" width="5.85546875" bestFit="1" customWidth="1"/>
    <col min="6618" max="6618" width="7.42578125" bestFit="1" customWidth="1"/>
    <col min="6619" max="6619" width="8.140625" bestFit="1" customWidth="1"/>
    <col min="6620" max="6620" width="4.5703125" bestFit="1" customWidth="1"/>
    <col min="6621" max="6621" width="57.5703125" customWidth="1"/>
    <col min="6622" max="6622" width="14.28515625" customWidth="1"/>
    <col min="6623" max="6623" width="0.85546875" customWidth="1"/>
    <col min="6624" max="6624" width="16.5703125" bestFit="1" customWidth="1"/>
    <col min="6625" max="6625" width="13.42578125" bestFit="1" customWidth="1"/>
    <col min="6872" max="6872" width="4.85546875" bestFit="1" customWidth="1"/>
    <col min="6873" max="6873" width="5.85546875" bestFit="1" customWidth="1"/>
    <col min="6874" max="6874" width="7.42578125" bestFit="1" customWidth="1"/>
    <col min="6875" max="6875" width="8.140625" bestFit="1" customWidth="1"/>
    <col min="6876" max="6876" width="4.5703125" bestFit="1" customWidth="1"/>
    <col min="6877" max="6877" width="57.5703125" customWidth="1"/>
    <col min="6878" max="6878" width="14.28515625" customWidth="1"/>
    <col min="6879" max="6879" width="0.85546875" customWidth="1"/>
    <col min="6880" max="6880" width="16.5703125" bestFit="1" customWidth="1"/>
    <col min="6881" max="6881" width="13.42578125" bestFit="1" customWidth="1"/>
    <col min="7128" max="7128" width="4.85546875" bestFit="1" customWidth="1"/>
    <col min="7129" max="7129" width="5.85546875" bestFit="1" customWidth="1"/>
    <col min="7130" max="7130" width="7.42578125" bestFit="1" customWidth="1"/>
    <col min="7131" max="7131" width="8.140625" bestFit="1" customWidth="1"/>
    <col min="7132" max="7132" width="4.5703125" bestFit="1" customWidth="1"/>
    <col min="7133" max="7133" width="57.5703125" customWidth="1"/>
    <col min="7134" max="7134" width="14.28515625" customWidth="1"/>
    <col min="7135" max="7135" width="0.85546875" customWidth="1"/>
    <col min="7136" max="7136" width="16.5703125" bestFit="1" customWidth="1"/>
    <col min="7137" max="7137" width="13.42578125" bestFit="1" customWidth="1"/>
    <col min="7384" max="7384" width="4.85546875" bestFit="1" customWidth="1"/>
    <col min="7385" max="7385" width="5.85546875" bestFit="1" customWidth="1"/>
    <col min="7386" max="7386" width="7.42578125" bestFit="1" customWidth="1"/>
    <col min="7387" max="7387" width="8.140625" bestFit="1" customWidth="1"/>
    <col min="7388" max="7388" width="4.5703125" bestFit="1" customWidth="1"/>
    <col min="7389" max="7389" width="57.5703125" customWidth="1"/>
    <col min="7390" max="7390" width="14.28515625" customWidth="1"/>
    <col min="7391" max="7391" width="0.85546875" customWidth="1"/>
    <col min="7392" max="7392" width="16.5703125" bestFit="1" customWidth="1"/>
    <col min="7393" max="7393" width="13.42578125" bestFit="1" customWidth="1"/>
    <col min="7640" max="7640" width="4.85546875" bestFit="1" customWidth="1"/>
    <col min="7641" max="7641" width="5.85546875" bestFit="1" customWidth="1"/>
    <col min="7642" max="7642" width="7.42578125" bestFit="1" customWidth="1"/>
    <col min="7643" max="7643" width="8.140625" bestFit="1" customWidth="1"/>
    <col min="7644" max="7644" width="4.5703125" bestFit="1" customWidth="1"/>
    <col min="7645" max="7645" width="57.5703125" customWidth="1"/>
    <col min="7646" max="7646" width="14.28515625" customWidth="1"/>
    <col min="7647" max="7647" width="0.85546875" customWidth="1"/>
    <col min="7648" max="7648" width="16.5703125" bestFit="1" customWidth="1"/>
    <col min="7649" max="7649" width="13.42578125" bestFit="1" customWidth="1"/>
    <col min="7896" max="7896" width="4.85546875" bestFit="1" customWidth="1"/>
    <col min="7897" max="7897" width="5.85546875" bestFit="1" customWidth="1"/>
    <col min="7898" max="7898" width="7.42578125" bestFit="1" customWidth="1"/>
    <col min="7899" max="7899" width="8.140625" bestFit="1" customWidth="1"/>
    <col min="7900" max="7900" width="4.5703125" bestFit="1" customWidth="1"/>
    <col min="7901" max="7901" width="57.5703125" customWidth="1"/>
    <col min="7902" max="7902" width="14.28515625" customWidth="1"/>
    <col min="7903" max="7903" width="0.85546875" customWidth="1"/>
    <col min="7904" max="7904" width="16.5703125" bestFit="1" customWidth="1"/>
    <col min="7905" max="7905" width="13.42578125" bestFit="1" customWidth="1"/>
    <col min="8152" max="8152" width="4.85546875" bestFit="1" customWidth="1"/>
    <col min="8153" max="8153" width="5.85546875" bestFit="1" customWidth="1"/>
    <col min="8154" max="8154" width="7.42578125" bestFit="1" customWidth="1"/>
    <col min="8155" max="8155" width="8.140625" bestFit="1" customWidth="1"/>
    <col min="8156" max="8156" width="4.5703125" bestFit="1" customWidth="1"/>
    <col min="8157" max="8157" width="57.5703125" customWidth="1"/>
    <col min="8158" max="8158" width="14.28515625" customWidth="1"/>
    <col min="8159" max="8159" width="0.85546875" customWidth="1"/>
    <col min="8160" max="8160" width="16.5703125" bestFit="1" customWidth="1"/>
    <col min="8161" max="8161" width="13.42578125" bestFit="1" customWidth="1"/>
    <col min="8408" max="8408" width="4.85546875" bestFit="1" customWidth="1"/>
    <col min="8409" max="8409" width="5.85546875" bestFit="1" customWidth="1"/>
    <col min="8410" max="8410" width="7.42578125" bestFit="1" customWidth="1"/>
    <col min="8411" max="8411" width="8.140625" bestFit="1" customWidth="1"/>
    <col min="8412" max="8412" width="4.5703125" bestFit="1" customWidth="1"/>
    <col min="8413" max="8413" width="57.5703125" customWidth="1"/>
    <col min="8414" max="8414" width="14.28515625" customWidth="1"/>
    <col min="8415" max="8415" width="0.85546875" customWidth="1"/>
    <col min="8416" max="8416" width="16.5703125" bestFit="1" customWidth="1"/>
    <col min="8417" max="8417" width="13.42578125" bestFit="1" customWidth="1"/>
    <col min="8664" max="8664" width="4.85546875" bestFit="1" customWidth="1"/>
    <col min="8665" max="8665" width="5.85546875" bestFit="1" customWidth="1"/>
    <col min="8666" max="8666" width="7.42578125" bestFit="1" customWidth="1"/>
    <col min="8667" max="8667" width="8.140625" bestFit="1" customWidth="1"/>
    <col min="8668" max="8668" width="4.5703125" bestFit="1" customWidth="1"/>
    <col min="8669" max="8669" width="57.5703125" customWidth="1"/>
    <col min="8670" max="8670" width="14.28515625" customWidth="1"/>
    <col min="8671" max="8671" width="0.85546875" customWidth="1"/>
    <col min="8672" max="8672" width="16.5703125" bestFit="1" customWidth="1"/>
    <col min="8673" max="8673" width="13.42578125" bestFit="1" customWidth="1"/>
    <col min="8920" max="8920" width="4.85546875" bestFit="1" customWidth="1"/>
    <col min="8921" max="8921" width="5.85546875" bestFit="1" customWidth="1"/>
    <col min="8922" max="8922" width="7.42578125" bestFit="1" customWidth="1"/>
    <col min="8923" max="8923" width="8.140625" bestFit="1" customWidth="1"/>
    <col min="8924" max="8924" width="4.5703125" bestFit="1" customWidth="1"/>
    <col min="8925" max="8925" width="57.5703125" customWidth="1"/>
    <col min="8926" max="8926" width="14.28515625" customWidth="1"/>
    <col min="8927" max="8927" width="0.85546875" customWidth="1"/>
    <col min="8928" max="8928" width="16.5703125" bestFit="1" customWidth="1"/>
    <col min="8929" max="8929" width="13.42578125" bestFit="1" customWidth="1"/>
    <col min="9176" max="9176" width="4.85546875" bestFit="1" customWidth="1"/>
    <col min="9177" max="9177" width="5.85546875" bestFit="1" customWidth="1"/>
    <col min="9178" max="9178" width="7.42578125" bestFit="1" customWidth="1"/>
    <col min="9179" max="9179" width="8.140625" bestFit="1" customWidth="1"/>
    <col min="9180" max="9180" width="4.5703125" bestFit="1" customWidth="1"/>
    <col min="9181" max="9181" width="57.5703125" customWidth="1"/>
    <col min="9182" max="9182" width="14.28515625" customWidth="1"/>
    <col min="9183" max="9183" width="0.85546875" customWidth="1"/>
    <col min="9184" max="9184" width="16.5703125" bestFit="1" customWidth="1"/>
    <col min="9185" max="9185" width="13.42578125" bestFit="1" customWidth="1"/>
    <col min="9432" max="9432" width="4.85546875" bestFit="1" customWidth="1"/>
    <col min="9433" max="9433" width="5.85546875" bestFit="1" customWidth="1"/>
    <col min="9434" max="9434" width="7.42578125" bestFit="1" customWidth="1"/>
    <col min="9435" max="9435" width="8.140625" bestFit="1" customWidth="1"/>
    <col min="9436" max="9436" width="4.5703125" bestFit="1" customWidth="1"/>
    <col min="9437" max="9437" width="57.5703125" customWidth="1"/>
    <col min="9438" max="9438" width="14.28515625" customWidth="1"/>
    <col min="9439" max="9439" width="0.85546875" customWidth="1"/>
    <col min="9440" max="9440" width="16.5703125" bestFit="1" customWidth="1"/>
    <col min="9441" max="9441" width="13.42578125" bestFit="1" customWidth="1"/>
    <col min="9688" max="9688" width="4.85546875" bestFit="1" customWidth="1"/>
    <col min="9689" max="9689" width="5.85546875" bestFit="1" customWidth="1"/>
    <col min="9690" max="9690" width="7.42578125" bestFit="1" customWidth="1"/>
    <col min="9691" max="9691" width="8.140625" bestFit="1" customWidth="1"/>
    <col min="9692" max="9692" width="4.5703125" bestFit="1" customWidth="1"/>
    <col min="9693" max="9693" width="57.5703125" customWidth="1"/>
    <col min="9694" max="9694" width="14.28515625" customWidth="1"/>
    <col min="9695" max="9695" width="0.85546875" customWidth="1"/>
    <col min="9696" max="9696" width="16.5703125" bestFit="1" customWidth="1"/>
    <col min="9697" max="9697" width="13.42578125" bestFit="1" customWidth="1"/>
    <col min="9944" max="9944" width="4.85546875" bestFit="1" customWidth="1"/>
    <col min="9945" max="9945" width="5.85546875" bestFit="1" customWidth="1"/>
    <col min="9946" max="9946" width="7.42578125" bestFit="1" customWidth="1"/>
    <col min="9947" max="9947" width="8.140625" bestFit="1" customWidth="1"/>
    <col min="9948" max="9948" width="4.5703125" bestFit="1" customWidth="1"/>
    <col min="9949" max="9949" width="57.5703125" customWidth="1"/>
    <col min="9950" max="9950" width="14.28515625" customWidth="1"/>
    <col min="9951" max="9951" width="0.85546875" customWidth="1"/>
    <col min="9952" max="9952" width="16.5703125" bestFit="1" customWidth="1"/>
    <col min="9953" max="9953" width="13.42578125" bestFit="1" customWidth="1"/>
    <col min="10200" max="10200" width="4.85546875" bestFit="1" customWidth="1"/>
    <col min="10201" max="10201" width="5.85546875" bestFit="1" customWidth="1"/>
    <col min="10202" max="10202" width="7.42578125" bestFit="1" customWidth="1"/>
    <col min="10203" max="10203" width="8.140625" bestFit="1" customWidth="1"/>
    <col min="10204" max="10204" width="4.5703125" bestFit="1" customWidth="1"/>
    <col min="10205" max="10205" width="57.5703125" customWidth="1"/>
    <col min="10206" max="10206" width="14.28515625" customWidth="1"/>
    <col min="10207" max="10207" width="0.85546875" customWidth="1"/>
    <col min="10208" max="10208" width="16.5703125" bestFit="1" customWidth="1"/>
    <col min="10209" max="10209" width="13.42578125" bestFit="1" customWidth="1"/>
    <col min="10456" max="10456" width="4.85546875" bestFit="1" customWidth="1"/>
    <col min="10457" max="10457" width="5.85546875" bestFit="1" customWidth="1"/>
    <col min="10458" max="10458" width="7.42578125" bestFit="1" customWidth="1"/>
    <col min="10459" max="10459" width="8.140625" bestFit="1" customWidth="1"/>
    <col min="10460" max="10460" width="4.5703125" bestFit="1" customWidth="1"/>
    <col min="10461" max="10461" width="57.5703125" customWidth="1"/>
    <col min="10462" max="10462" width="14.28515625" customWidth="1"/>
    <col min="10463" max="10463" width="0.85546875" customWidth="1"/>
    <col min="10464" max="10464" width="16.5703125" bestFit="1" customWidth="1"/>
    <col min="10465" max="10465" width="13.42578125" bestFit="1" customWidth="1"/>
    <col min="10712" max="10712" width="4.85546875" bestFit="1" customWidth="1"/>
    <col min="10713" max="10713" width="5.85546875" bestFit="1" customWidth="1"/>
    <col min="10714" max="10714" width="7.42578125" bestFit="1" customWidth="1"/>
    <col min="10715" max="10715" width="8.140625" bestFit="1" customWidth="1"/>
    <col min="10716" max="10716" width="4.5703125" bestFit="1" customWidth="1"/>
    <col min="10717" max="10717" width="57.5703125" customWidth="1"/>
    <col min="10718" max="10718" width="14.28515625" customWidth="1"/>
    <col min="10719" max="10719" width="0.85546875" customWidth="1"/>
    <col min="10720" max="10720" width="16.5703125" bestFit="1" customWidth="1"/>
    <col min="10721" max="10721" width="13.42578125" bestFit="1" customWidth="1"/>
    <col min="10968" max="10968" width="4.85546875" bestFit="1" customWidth="1"/>
    <col min="10969" max="10969" width="5.85546875" bestFit="1" customWidth="1"/>
    <col min="10970" max="10970" width="7.42578125" bestFit="1" customWidth="1"/>
    <col min="10971" max="10971" width="8.140625" bestFit="1" customWidth="1"/>
    <col min="10972" max="10972" width="4.5703125" bestFit="1" customWidth="1"/>
    <col min="10973" max="10973" width="57.5703125" customWidth="1"/>
    <col min="10974" max="10974" width="14.28515625" customWidth="1"/>
    <col min="10975" max="10975" width="0.85546875" customWidth="1"/>
    <col min="10976" max="10976" width="16.5703125" bestFit="1" customWidth="1"/>
    <col min="10977" max="10977" width="13.42578125" bestFit="1" customWidth="1"/>
    <col min="11224" max="11224" width="4.85546875" bestFit="1" customWidth="1"/>
    <col min="11225" max="11225" width="5.85546875" bestFit="1" customWidth="1"/>
    <col min="11226" max="11226" width="7.42578125" bestFit="1" customWidth="1"/>
    <col min="11227" max="11227" width="8.140625" bestFit="1" customWidth="1"/>
    <col min="11228" max="11228" width="4.5703125" bestFit="1" customWidth="1"/>
    <col min="11229" max="11229" width="57.5703125" customWidth="1"/>
    <col min="11230" max="11230" width="14.28515625" customWidth="1"/>
    <col min="11231" max="11231" width="0.85546875" customWidth="1"/>
    <col min="11232" max="11232" width="16.5703125" bestFit="1" customWidth="1"/>
    <col min="11233" max="11233" width="13.42578125" bestFit="1" customWidth="1"/>
    <col min="11480" max="11480" width="4.85546875" bestFit="1" customWidth="1"/>
    <col min="11481" max="11481" width="5.85546875" bestFit="1" customWidth="1"/>
    <col min="11482" max="11482" width="7.42578125" bestFit="1" customWidth="1"/>
    <col min="11483" max="11483" width="8.140625" bestFit="1" customWidth="1"/>
    <col min="11484" max="11484" width="4.5703125" bestFit="1" customWidth="1"/>
    <col min="11485" max="11485" width="57.5703125" customWidth="1"/>
    <col min="11486" max="11486" width="14.28515625" customWidth="1"/>
    <col min="11487" max="11487" width="0.85546875" customWidth="1"/>
    <col min="11488" max="11488" width="16.5703125" bestFit="1" customWidth="1"/>
    <col min="11489" max="11489" width="13.42578125" bestFit="1" customWidth="1"/>
    <col min="11736" max="11736" width="4.85546875" bestFit="1" customWidth="1"/>
    <col min="11737" max="11737" width="5.85546875" bestFit="1" customWidth="1"/>
    <col min="11738" max="11738" width="7.42578125" bestFit="1" customWidth="1"/>
    <col min="11739" max="11739" width="8.140625" bestFit="1" customWidth="1"/>
    <col min="11740" max="11740" width="4.5703125" bestFit="1" customWidth="1"/>
    <col min="11741" max="11741" width="57.5703125" customWidth="1"/>
    <col min="11742" max="11742" width="14.28515625" customWidth="1"/>
    <col min="11743" max="11743" width="0.85546875" customWidth="1"/>
    <col min="11744" max="11744" width="16.5703125" bestFit="1" customWidth="1"/>
    <col min="11745" max="11745" width="13.42578125" bestFit="1" customWidth="1"/>
    <col min="11992" max="11992" width="4.85546875" bestFit="1" customWidth="1"/>
    <col min="11993" max="11993" width="5.85546875" bestFit="1" customWidth="1"/>
    <col min="11994" max="11994" width="7.42578125" bestFit="1" customWidth="1"/>
    <col min="11995" max="11995" width="8.140625" bestFit="1" customWidth="1"/>
    <col min="11996" max="11996" width="4.5703125" bestFit="1" customWidth="1"/>
    <col min="11997" max="11997" width="57.5703125" customWidth="1"/>
    <col min="11998" max="11998" width="14.28515625" customWidth="1"/>
    <col min="11999" max="11999" width="0.85546875" customWidth="1"/>
    <col min="12000" max="12000" width="16.5703125" bestFit="1" customWidth="1"/>
    <col min="12001" max="12001" width="13.42578125" bestFit="1" customWidth="1"/>
    <col min="12248" max="12248" width="4.85546875" bestFit="1" customWidth="1"/>
    <col min="12249" max="12249" width="5.85546875" bestFit="1" customWidth="1"/>
    <col min="12250" max="12250" width="7.42578125" bestFit="1" customWidth="1"/>
    <col min="12251" max="12251" width="8.140625" bestFit="1" customWidth="1"/>
    <col min="12252" max="12252" width="4.5703125" bestFit="1" customWidth="1"/>
    <col min="12253" max="12253" width="57.5703125" customWidth="1"/>
    <col min="12254" max="12254" width="14.28515625" customWidth="1"/>
    <col min="12255" max="12255" width="0.85546875" customWidth="1"/>
    <col min="12256" max="12256" width="16.5703125" bestFit="1" customWidth="1"/>
    <col min="12257" max="12257" width="13.42578125" bestFit="1" customWidth="1"/>
    <col min="12504" max="12504" width="4.85546875" bestFit="1" customWidth="1"/>
    <col min="12505" max="12505" width="5.85546875" bestFit="1" customWidth="1"/>
    <col min="12506" max="12506" width="7.42578125" bestFit="1" customWidth="1"/>
    <col min="12507" max="12507" width="8.140625" bestFit="1" customWidth="1"/>
    <col min="12508" max="12508" width="4.5703125" bestFit="1" customWidth="1"/>
    <col min="12509" max="12509" width="57.5703125" customWidth="1"/>
    <col min="12510" max="12510" width="14.28515625" customWidth="1"/>
    <col min="12511" max="12511" width="0.85546875" customWidth="1"/>
    <col min="12512" max="12512" width="16.5703125" bestFit="1" customWidth="1"/>
    <col min="12513" max="12513" width="13.42578125" bestFit="1" customWidth="1"/>
    <col min="12760" max="12760" width="4.85546875" bestFit="1" customWidth="1"/>
    <col min="12761" max="12761" width="5.85546875" bestFit="1" customWidth="1"/>
    <col min="12762" max="12762" width="7.42578125" bestFit="1" customWidth="1"/>
    <col min="12763" max="12763" width="8.140625" bestFit="1" customWidth="1"/>
    <col min="12764" max="12764" width="4.5703125" bestFit="1" customWidth="1"/>
    <col min="12765" max="12765" width="57.5703125" customWidth="1"/>
    <col min="12766" max="12766" width="14.28515625" customWidth="1"/>
    <col min="12767" max="12767" width="0.85546875" customWidth="1"/>
    <col min="12768" max="12768" width="16.5703125" bestFit="1" customWidth="1"/>
    <col min="12769" max="12769" width="13.42578125" bestFit="1" customWidth="1"/>
    <col min="13016" max="13016" width="4.85546875" bestFit="1" customWidth="1"/>
    <col min="13017" max="13017" width="5.85546875" bestFit="1" customWidth="1"/>
    <col min="13018" max="13018" width="7.42578125" bestFit="1" customWidth="1"/>
    <col min="13019" max="13019" width="8.140625" bestFit="1" customWidth="1"/>
    <col min="13020" max="13020" width="4.5703125" bestFit="1" customWidth="1"/>
    <col min="13021" max="13021" width="57.5703125" customWidth="1"/>
    <col min="13022" max="13022" width="14.28515625" customWidth="1"/>
    <col min="13023" max="13023" width="0.85546875" customWidth="1"/>
    <col min="13024" max="13024" width="16.5703125" bestFit="1" customWidth="1"/>
    <col min="13025" max="13025" width="13.42578125" bestFit="1" customWidth="1"/>
    <col min="13272" max="13272" width="4.85546875" bestFit="1" customWidth="1"/>
    <col min="13273" max="13273" width="5.85546875" bestFit="1" customWidth="1"/>
    <col min="13274" max="13274" width="7.42578125" bestFit="1" customWidth="1"/>
    <col min="13275" max="13275" width="8.140625" bestFit="1" customWidth="1"/>
    <col min="13276" max="13276" width="4.5703125" bestFit="1" customWidth="1"/>
    <col min="13277" max="13277" width="57.5703125" customWidth="1"/>
    <col min="13278" max="13278" width="14.28515625" customWidth="1"/>
    <col min="13279" max="13279" width="0.85546875" customWidth="1"/>
    <col min="13280" max="13280" width="16.5703125" bestFit="1" customWidth="1"/>
    <col min="13281" max="13281" width="13.42578125" bestFit="1" customWidth="1"/>
    <col min="13528" max="13528" width="4.85546875" bestFit="1" customWidth="1"/>
    <col min="13529" max="13529" width="5.85546875" bestFit="1" customWidth="1"/>
    <col min="13530" max="13530" width="7.42578125" bestFit="1" customWidth="1"/>
    <col min="13531" max="13531" width="8.140625" bestFit="1" customWidth="1"/>
    <col min="13532" max="13532" width="4.5703125" bestFit="1" customWidth="1"/>
    <col min="13533" max="13533" width="57.5703125" customWidth="1"/>
    <col min="13534" max="13534" width="14.28515625" customWidth="1"/>
    <col min="13535" max="13535" width="0.85546875" customWidth="1"/>
    <col min="13536" max="13536" width="16.5703125" bestFit="1" customWidth="1"/>
    <col min="13537" max="13537" width="13.42578125" bestFit="1" customWidth="1"/>
    <col min="13784" max="13784" width="4.85546875" bestFit="1" customWidth="1"/>
    <col min="13785" max="13785" width="5.85546875" bestFit="1" customWidth="1"/>
    <col min="13786" max="13786" width="7.42578125" bestFit="1" customWidth="1"/>
    <col min="13787" max="13787" width="8.140625" bestFit="1" customWidth="1"/>
    <col min="13788" max="13788" width="4.5703125" bestFit="1" customWidth="1"/>
    <col min="13789" max="13789" width="57.5703125" customWidth="1"/>
    <col min="13790" max="13790" width="14.28515625" customWidth="1"/>
    <col min="13791" max="13791" width="0.85546875" customWidth="1"/>
    <col min="13792" max="13792" width="16.5703125" bestFit="1" customWidth="1"/>
    <col min="13793" max="13793" width="13.42578125" bestFit="1" customWidth="1"/>
    <col min="14040" max="14040" width="4.85546875" bestFit="1" customWidth="1"/>
    <col min="14041" max="14041" width="5.85546875" bestFit="1" customWidth="1"/>
    <col min="14042" max="14042" width="7.42578125" bestFit="1" customWidth="1"/>
    <col min="14043" max="14043" width="8.140625" bestFit="1" customWidth="1"/>
    <col min="14044" max="14044" width="4.5703125" bestFit="1" customWidth="1"/>
    <col min="14045" max="14045" width="57.5703125" customWidth="1"/>
    <col min="14046" max="14046" width="14.28515625" customWidth="1"/>
    <col min="14047" max="14047" width="0.85546875" customWidth="1"/>
    <col min="14048" max="14048" width="16.5703125" bestFit="1" customWidth="1"/>
    <col min="14049" max="14049" width="13.42578125" bestFit="1" customWidth="1"/>
    <col min="14296" max="14296" width="4.85546875" bestFit="1" customWidth="1"/>
    <col min="14297" max="14297" width="5.85546875" bestFit="1" customWidth="1"/>
    <col min="14298" max="14298" width="7.42578125" bestFit="1" customWidth="1"/>
    <col min="14299" max="14299" width="8.140625" bestFit="1" customWidth="1"/>
    <col min="14300" max="14300" width="4.5703125" bestFit="1" customWidth="1"/>
    <col min="14301" max="14301" width="57.5703125" customWidth="1"/>
    <col min="14302" max="14302" width="14.28515625" customWidth="1"/>
    <col min="14303" max="14303" width="0.85546875" customWidth="1"/>
    <col min="14304" max="14304" width="16.5703125" bestFit="1" customWidth="1"/>
    <col min="14305" max="14305" width="13.42578125" bestFit="1" customWidth="1"/>
    <col min="14552" max="14552" width="4.85546875" bestFit="1" customWidth="1"/>
    <col min="14553" max="14553" width="5.85546875" bestFit="1" customWidth="1"/>
    <col min="14554" max="14554" width="7.42578125" bestFit="1" customWidth="1"/>
    <col min="14555" max="14555" width="8.140625" bestFit="1" customWidth="1"/>
    <col min="14556" max="14556" width="4.5703125" bestFit="1" customWidth="1"/>
    <col min="14557" max="14557" width="57.5703125" customWidth="1"/>
    <col min="14558" max="14558" width="14.28515625" customWidth="1"/>
    <col min="14559" max="14559" width="0.85546875" customWidth="1"/>
    <col min="14560" max="14560" width="16.5703125" bestFit="1" customWidth="1"/>
    <col min="14561" max="14561" width="13.42578125" bestFit="1" customWidth="1"/>
    <col min="14808" max="14808" width="4.85546875" bestFit="1" customWidth="1"/>
    <col min="14809" max="14809" width="5.85546875" bestFit="1" customWidth="1"/>
    <col min="14810" max="14810" width="7.42578125" bestFit="1" customWidth="1"/>
    <col min="14811" max="14811" width="8.140625" bestFit="1" customWidth="1"/>
    <col min="14812" max="14812" width="4.5703125" bestFit="1" customWidth="1"/>
    <col min="14813" max="14813" width="57.5703125" customWidth="1"/>
    <col min="14814" max="14814" width="14.28515625" customWidth="1"/>
    <col min="14815" max="14815" width="0.85546875" customWidth="1"/>
    <col min="14816" max="14816" width="16.5703125" bestFit="1" customWidth="1"/>
    <col min="14817" max="14817" width="13.42578125" bestFit="1" customWidth="1"/>
    <col min="15064" max="15064" width="4.85546875" bestFit="1" customWidth="1"/>
    <col min="15065" max="15065" width="5.85546875" bestFit="1" customWidth="1"/>
    <col min="15066" max="15066" width="7.42578125" bestFit="1" customWidth="1"/>
    <col min="15067" max="15067" width="8.140625" bestFit="1" customWidth="1"/>
    <col min="15068" max="15068" width="4.5703125" bestFit="1" customWidth="1"/>
    <col min="15069" max="15069" width="57.5703125" customWidth="1"/>
    <col min="15070" max="15070" width="14.28515625" customWidth="1"/>
    <col min="15071" max="15071" width="0.85546875" customWidth="1"/>
    <col min="15072" max="15072" width="16.5703125" bestFit="1" customWidth="1"/>
    <col min="15073" max="15073" width="13.42578125" bestFit="1" customWidth="1"/>
    <col min="15320" max="15320" width="4.85546875" bestFit="1" customWidth="1"/>
    <col min="15321" max="15321" width="5.85546875" bestFit="1" customWidth="1"/>
    <col min="15322" max="15322" width="7.42578125" bestFit="1" customWidth="1"/>
    <col min="15323" max="15323" width="8.140625" bestFit="1" customWidth="1"/>
    <col min="15324" max="15324" width="4.5703125" bestFit="1" customWidth="1"/>
    <col min="15325" max="15325" width="57.5703125" customWidth="1"/>
    <col min="15326" max="15326" width="14.28515625" customWidth="1"/>
    <col min="15327" max="15327" width="0.85546875" customWidth="1"/>
    <col min="15328" max="15328" width="16.5703125" bestFit="1" customWidth="1"/>
    <col min="15329" max="15329" width="13.42578125" bestFit="1" customWidth="1"/>
    <col min="15576" max="15576" width="4.85546875" bestFit="1" customWidth="1"/>
    <col min="15577" max="15577" width="5.85546875" bestFit="1" customWidth="1"/>
    <col min="15578" max="15578" width="7.42578125" bestFit="1" customWidth="1"/>
    <col min="15579" max="15579" width="8.140625" bestFit="1" customWidth="1"/>
    <col min="15580" max="15580" width="4.5703125" bestFit="1" customWidth="1"/>
    <col min="15581" max="15581" width="57.5703125" customWidth="1"/>
    <col min="15582" max="15582" width="14.28515625" customWidth="1"/>
    <col min="15583" max="15583" width="0.85546875" customWidth="1"/>
    <col min="15584" max="15584" width="16.5703125" bestFit="1" customWidth="1"/>
    <col min="15585" max="15585" width="13.42578125" bestFit="1" customWidth="1"/>
    <col min="15832" max="15832" width="4.85546875" bestFit="1" customWidth="1"/>
    <col min="15833" max="15833" width="5.85546875" bestFit="1" customWidth="1"/>
    <col min="15834" max="15834" width="7.42578125" bestFit="1" customWidth="1"/>
    <col min="15835" max="15835" width="8.140625" bestFit="1" customWidth="1"/>
    <col min="15836" max="15836" width="4.5703125" bestFit="1" customWidth="1"/>
    <col min="15837" max="15837" width="57.5703125" customWidth="1"/>
    <col min="15838" max="15838" width="14.28515625" customWidth="1"/>
    <col min="15839" max="15839" width="0.85546875" customWidth="1"/>
    <col min="15840" max="15840" width="16.5703125" bestFit="1" customWidth="1"/>
    <col min="15841" max="15841" width="13.42578125" bestFit="1" customWidth="1"/>
    <col min="16088" max="16088" width="4.85546875" bestFit="1" customWidth="1"/>
    <col min="16089" max="16089" width="5.85546875" bestFit="1" customWidth="1"/>
    <col min="16090" max="16090" width="7.42578125" bestFit="1" customWidth="1"/>
    <col min="16091" max="16091" width="8.140625" bestFit="1" customWidth="1"/>
    <col min="16092" max="16092" width="4.5703125" bestFit="1" customWidth="1"/>
    <col min="16093" max="16093" width="57.5703125" customWidth="1"/>
    <col min="16094" max="16094" width="14.28515625" customWidth="1"/>
    <col min="16095" max="16095" width="0.85546875" customWidth="1"/>
    <col min="16096" max="16096" width="16.5703125" bestFit="1" customWidth="1"/>
    <col min="16097" max="16097" width="13.42578125" bestFit="1" customWidth="1"/>
  </cols>
  <sheetData>
    <row r="1" spans="1:12">
      <c r="A1" s="26"/>
      <c r="B1" s="26"/>
      <c r="C1" s="26"/>
      <c r="D1" s="26"/>
      <c r="E1" s="26"/>
      <c r="F1" s="26"/>
      <c r="G1" s="26"/>
      <c r="H1" s="27"/>
      <c r="I1" s="27"/>
      <c r="J1" s="27"/>
      <c r="K1" s="1"/>
      <c r="L1" s="1"/>
    </row>
    <row r="2" spans="1:12">
      <c r="A2" s="26"/>
      <c r="B2" s="26"/>
      <c r="C2" s="26"/>
      <c r="D2" s="26"/>
      <c r="E2" s="26"/>
      <c r="F2" s="26"/>
      <c r="G2" s="26"/>
      <c r="H2" s="27"/>
      <c r="I2" s="27"/>
      <c r="J2" s="27"/>
      <c r="K2" s="1"/>
      <c r="L2" s="1"/>
    </row>
    <row r="3" spans="1:12">
      <c r="A3" s="26"/>
      <c r="B3" s="26"/>
      <c r="C3" s="26"/>
      <c r="D3" s="26"/>
      <c r="E3" s="26"/>
      <c r="F3" s="26"/>
      <c r="G3" s="26"/>
      <c r="H3" s="27"/>
      <c r="I3" s="27"/>
      <c r="J3" s="27"/>
      <c r="K3" s="1"/>
      <c r="L3" s="1"/>
    </row>
    <row r="4" spans="1:12">
      <c r="A4" s="26"/>
      <c r="B4" s="26"/>
      <c r="C4" s="26"/>
      <c r="D4" s="26"/>
      <c r="E4" s="26"/>
      <c r="F4" s="26"/>
      <c r="G4" s="26"/>
      <c r="H4" s="27"/>
      <c r="I4" s="27"/>
      <c r="J4" s="27"/>
      <c r="K4" s="1"/>
      <c r="L4" s="1"/>
    </row>
    <row r="5" spans="1:12" ht="20.25">
      <c r="A5" s="202" t="str">
        <f>'[1]Estado de flujo de Efectivo'!A1:B1</f>
        <v>Consejo Económico y Social -CES-</v>
      </c>
      <c r="B5" s="202"/>
      <c r="C5" s="202"/>
      <c r="D5" s="202"/>
      <c r="E5" s="202"/>
      <c r="F5" s="202"/>
      <c r="G5" s="202"/>
      <c r="H5" s="202"/>
      <c r="I5" s="153"/>
      <c r="J5" s="153"/>
      <c r="K5" s="1"/>
      <c r="L5" s="1"/>
    </row>
    <row r="6" spans="1:12" ht="20.25">
      <c r="A6" s="202" t="s">
        <v>177</v>
      </c>
      <c r="B6" s="202"/>
      <c r="C6" s="202"/>
      <c r="D6" s="202"/>
      <c r="E6" s="202"/>
      <c r="F6" s="202"/>
      <c r="G6" s="202"/>
      <c r="H6" s="202"/>
      <c r="I6" s="153"/>
      <c r="J6" s="153"/>
      <c r="K6" s="1"/>
      <c r="L6" s="1"/>
    </row>
    <row r="7" spans="1:12" ht="20.25">
      <c r="A7" s="202" t="s">
        <v>0</v>
      </c>
      <c r="B7" s="202"/>
      <c r="C7" s="202"/>
      <c r="D7" s="202"/>
      <c r="E7" s="202"/>
      <c r="F7" s="202"/>
      <c r="G7" s="202"/>
      <c r="H7" s="202"/>
      <c r="I7" s="153"/>
      <c r="J7" s="153"/>
      <c r="K7" s="1"/>
      <c r="L7" s="1"/>
    </row>
    <row r="8" spans="1:12" ht="18.75" customHeight="1" thickBot="1">
      <c r="A8" s="28"/>
      <c r="B8" s="28"/>
      <c r="C8" s="28"/>
      <c r="D8" s="28"/>
      <c r="E8" s="29"/>
      <c r="F8" s="30"/>
      <c r="G8" s="31"/>
      <c r="H8" s="32"/>
      <c r="I8" s="32"/>
      <c r="J8" s="32"/>
      <c r="K8" s="1"/>
      <c r="L8" s="1"/>
    </row>
    <row r="9" spans="1:12" ht="0.75" customHeight="1" thickBot="1">
      <c r="A9" s="203" t="s">
        <v>1</v>
      </c>
      <c r="B9" s="204"/>
      <c r="C9" s="204"/>
      <c r="D9" s="204"/>
      <c r="E9" s="205"/>
      <c r="F9" s="33"/>
      <c r="G9" s="34" t="s">
        <v>2</v>
      </c>
      <c r="H9" s="35" t="s">
        <v>2</v>
      </c>
      <c r="I9" s="169"/>
      <c r="J9" s="169"/>
      <c r="K9" s="1"/>
      <c r="L9" s="1"/>
    </row>
    <row r="10" spans="1:12" ht="49.5" customHeight="1" thickBot="1">
      <c r="A10" s="146"/>
      <c r="B10" s="146"/>
      <c r="C10" s="147"/>
      <c r="D10" s="147"/>
      <c r="E10" s="148"/>
      <c r="F10" s="36"/>
      <c r="G10" s="37" t="s">
        <v>143</v>
      </c>
      <c r="H10" s="38" t="s">
        <v>142</v>
      </c>
      <c r="I10" s="38" t="s">
        <v>155</v>
      </c>
      <c r="J10" s="175" t="s">
        <v>131</v>
      </c>
      <c r="K10" s="175" t="s">
        <v>3</v>
      </c>
      <c r="L10" s="158"/>
    </row>
    <row r="11" spans="1:12" ht="32.25" thickBot="1">
      <c r="A11" s="39" t="s">
        <v>4</v>
      </c>
      <c r="B11" s="37" t="s">
        <v>5</v>
      </c>
      <c r="C11" s="40" t="s">
        <v>6</v>
      </c>
      <c r="D11" s="37" t="s">
        <v>7</v>
      </c>
      <c r="E11" s="37" t="s">
        <v>8</v>
      </c>
      <c r="F11" s="146" t="s">
        <v>9</v>
      </c>
      <c r="G11" s="41" t="s">
        <v>10</v>
      </c>
      <c r="H11" s="42" t="s">
        <v>10</v>
      </c>
      <c r="I11" s="42" t="s">
        <v>10</v>
      </c>
      <c r="J11" s="42" t="s">
        <v>10</v>
      </c>
      <c r="K11" s="3" t="s">
        <v>10</v>
      </c>
      <c r="L11" s="159"/>
    </row>
    <row r="12" spans="1:12" ht="15.75">
      <c r="A12" s="43"/>
      <c r="B12" s="44"/>
      <c r="C12" s="45"/>
      <c r="D12" s="46"/>
      <c r="E12" s="47"/>
      <c r="F12" s="48"/>
      <c r="G12" s="49"/>
      <c r="H12" s="50"/>
      <c r="I12" s="170"/>
      <c r="J12" s="170"/>
      <c r="K12" s="4"/>
      <c r="L12" s="159"/>
    </row>
    <row r="13" spans="1:12" ht="16.5" thickBot="1">
      <c r="A13" s="44">
        <v>2</v>
      </c>
      <c r="B13" s="44">
        <v>1</v>
      </c>
      <c r="C13" s="51"/>
      <c r="D13" s="44"/>
      <c r="E13" s="52"/>
      <c r="F13" s="53" t="s">
        <v>11</v>
      </c>
      <c r="G13" s="54">
        <f>G14+G32+G43+G48</f>
        <v>33477126</v>
      </c>
      <c r="H13" s="54">
        <f>H14+H32+H43+H48</f>
        <v>2407434.8200000003</v>
      </c>
      <c r="I13" s="54">
        <f>I14+I32+I43+I48</f>
        <v>2134547.5699999998</v>
      </c>
      <c r="J13" s="54">
        <f>J14+J32+J43+J48</f>
        <v>4541982.3899999997</v>
      </c>
      <c r="K13" s="54">
        <f>K14+K32+K43+K48</f>
        <v>28935143.609999999</v>
      </c>
      <c r="L13" s="157"/>
    </row>
    <row r="14" spans="1:12" ht="16.5" thickBot="1">
      <c r="A14" s="44">
        <v>2</v>
      </c>
      <c r="B14" s="44">
        <v>1</v>
      </c>
      <c r="C14" s="51">
        <v>1</v>
      </c>
      <c r="D14" s="44"/>
      <c r="E14" s="52"/>
      <c r="F14" s="53" t="s">
        <v>12</v>
      </c>
      <c r="G14" s="55">
        <f>G15+G18+G23+G26</f>
        <v>25377001</v>
      </c>
      <c r="H14" s="55">
        <f>H15+H18+H23+H26</f>
        <v>1947455.32</v>
      </c>
      <c r="I14" s="55">
        <f>I15+I18+I23+I26</f>
        <v>1867012</v>
      </c>
      <c r="J14" s="55">
        <f>J15+J18+J23+J26</f>
        <v>3814467.32</v>
      </c>
      <c r="K14" s="55">
        <f>K15+K18+K23+K26</f>
        <v>21562533.68</v>
      </c>
      <c r="L14" s="160"/>
    </row>
    <row r="15" spans="1:12" ht="16.5" thickBot="1">
      <c r="A15" s="44">
        <v>2</v>
      </c>
      <c r="B15" s="44">
        <v>1</v>
      </c>
      <c r="C15" s="51">
        <v>1</v>
      </c>
      <c r="D15" s="44">
        <v>1</v>
      </c>
      <c r="E15" s="52"/>
      <c r="F15" s="53" t="s">
        <v>13</v>
      </c>
      <c r="G15" s="56">
        <f>G16</f>
        <v>6300000</v>
      </c>
      <c r="H15" s="57">
        <f>H16</f>
        <v>525000</v>
      </c>
      <c r="I15" s="57">
        <f>I16</f>
        <v>525000</v>
      </c>
      <c r="J15" s="57">
        <f>J16</f>
        <v>1050000</v>
      </c>
      <c r="K15" s="57">
        <f>K16</f>
        <v>5250000</v>
      </c>
      <c r="L15" s="161"/>
    </row>
    <row r="16" spans="1:12" ht="15.75">
      <c r="A16" s="44">
        <v>2</v>
      </c>
      <c r="B16" s="44">
        <v>1</v>
      </c>
      <c r="C16" s="51">
        <v>1</v>
      </c>
      <c r="D16" s="44">
        <v>1</v>
      </c>
      <c r="E16" s="44">
        <v>1</v>
      </c>
      <c r="F16" s="58" t="s">
        <v>14</v>
      </c>
      <c r="G16" s="59">
        <v>6300000</v>
      </c>
      <c r="H16" s="60">
        <f>300000+225000</f>
        <v>525000</v>
      </c>
      <c r="I16" s="60">
        <f>225000+300000</f>
        <v>525000</v>
      </c>
      <c r="J16" s="179">
        <f>+H16+I16</f>
        <v>1050000</v>
      </c>
      <c r="K16" s="179">
        <f>+G16-H16-I16</f>
        <v>5250000</v>
      </c>
      <c r="L16" s="162"/>
    </row>
    <row r="17" spans="1:13" ht="15.75">
      <c r="A17" s="44"/>
      <c r="B17" s="44"/>
      <c r="C17" s="51"/>
      <c r="D17" s="44"/>
      <c r="E17" s="43"/>
      <c r="F17" s="58"/>
      <c r="G17" s="61"/>
      <c r="H17" s="62"/>
      <c r="I17" s="171"/>
      <c r="J17" s="171"/>
      <c r="K17" s="171"/>
      <c r="L17" s="163"/>
    </row>
    <row r="18" spans="1:13" ht="36" customHeight="1" thickBot="1">
      <c r="A18" s="44">
        <v>2</v>
      </c>
      <c r="B18" s="44">
        <v>1</v>
      </c>
      <c r="C18" s="51">
        <v>1</v>
      </c>
      <c r="D18" s="44">
        <v>2</v>
      </c>
      <c r="E18" s="52"/>
      <c r="F18" s="63" t="s">
        <v>15</v>
      </c>
      <c r="G18" s="54">
        <f>G19</f>
        <v>17124924</v>
      </c>
      <c r="H18" s="54">
        <f>H19+H20+H21</f>
        <v>1340721.32</v>
      </c>
      <c r="I18" s="119">
        <f>I19+I20+I21</f>
        <v>1342012</v>
      </c>
      <c r="J18" s="119">
        <f>J19+J20+J21</f>
        <v>2682733.3199999998</v>
      </c>
      <c r="K18" s="54">
        <f>K19+K20+K21</f>
        <v>14442190.68</v>
      </c>
      <c r="L18" s="157"/>
    </row>
    <row r="19" spans="1:13" ht="15.75">
      <c r="A19" s="44">
        <v>2</v>
      </c>
      <c r="B19" s="44">
        <v>1</v>
      </c>
      <c r="C19" s="51">
        <v>1</v>
      </c>
      <c r="D19" s="44">
        <v>2</v>
      </c>
      <c r="E19" s="44">
        <v>1</v>
      </c>
      <c r="F19" s="65" t="s">
        <v>16</v>
      </c>
      <c r="G19" s="66">
        <v>17124924</v>
      </c>
      <c r="H19" s="62">
        <f>73200+185000+185000+80000+120000+135000+53812+80000+66000+85000+60000+120000+29000+47419</f>
        <v>1319431</v>
      </c>
      <c r="I19" s="62">
        <f>73200+185000+185000+80000+120000+135000+53812+80000+66000+85000+60000+120000+29000+70000</f>
        <v>1342012</v>
      </c>
      <c r="J19" s="171">
        <f>+H19+I19</f>
        <v>2661443</v>
      </c>
      <c r="K19" s="171">
        <f>+G19-H19-I19</f>
        <v>14463481</v>
      </c>
      <c r="L19" s="163"/>
      <c r="M19" s="183"/>
    </row>
    <row r="20" spans="1:13" ht="15.75">
      <c r="A20" s="44">
        <v>2</v>
      </c>
      <c r="B20" s="44">
        <v>1</v>
      </c>
      <c r="C20" s="51">
        <v>1</v>
      </c>
      <c r="D20" s="44">
        <v>2</v>
      </c>
      <c r="E20" s="44">
        <v>2</v>
      </c>
      <c r="F20" s="65" t="s">
        <v>17</v>
      </c>
      <c r="G20" s="61"/>
      <c r="H20" s="62"/>
      <c r="I20" s="171"/>
      <c r="J20" s="171">
        <f>+H20+I20</f>
        <v>0</v>
      </c>
      <c r="K20" s="171"/>
      <c r="L20" s="163"/>
    </row>
    <row r="21" spans="1:13" ht="15.75">
      <c r="A21" s="44">
        <v>2</v>
      </c>
      <c r="B21" s="44">
        <v>1</v>
      </c>
      <c r="C21" s="51">
        <v>1</v>
      </c>
      <c r="D21" s="44">
        <v>2</v>
      </c>
      <c r="E21" s="44">
        <v>5</v>
      </c>
      <c r="F21" s="65" t="s">
        <v>18</v>
      </c>
      <c r="G21" s="67"/>
      <c r="H21" s="69">
        <v>21290.32</v>
      </c>
      <c r="I21" s="172"/>
      <c r="J21" s="171">
        <f>+H21+I21</f>
        <v>21290.32</v>
      </c>
      <c r="K21" s="172">
        <f>+G21-H21-I21</f>
        <v>-21290.32</v>
      </c>
      <c r="L21" s="164"/>
    </row>
    <row r="22" spans="1:13" ht="15.75">
      <c r="A22" s="44"/>
      <c r="B22" s="44"/>
      <c r="C22" s="51"/>
      <c r="D22" s="44"/>
      <c r="E22" s="44"/>
      <c r="F22" s="65"/>
      <c r="G22" s="67"/>
      <c r="H22" s="69" t="s">
        <v>19</v>
      </c>
      <c r="I22" s="172"/>
      <c r="J22" s="172"/>
      <c r="K22" s="172"/>
      <c r="L22" s="164"/>
    </row>
    <row r="23" spans="1:13" ht="16.5" thickBot="1">
      <c r="A23" s="44">
        <v>2</v>
      </c>
      <c r="B23" s="44">
        <v>1</v>
      </c>
      <c r="C23" s="51">
        <v>1</v>
      </c>
      <c r="D23" s="44">
        <v>4</v>
      </c>
      <c r="E23" s="52"/>
      <c r="F23" s="63" t="s">
        <v>20</v>
      </c>
      <c r="G23" s="54">
        <f>G24</f>
        <v>1952077</v>
      </c>
      <c r="H23" s="54">
        <f>H24</f>
        <v>0</v>
      </c>
      <c r="I23" s="119">
        <f>I24</f>
        <v>0</v>
      </c>
      <c r="J23" s="119">
        <f>J24</f>
        <v>0</v>
      </c>
      <c r="K23" s="54">
        <f>K24</f>
        <v>1952077</v>
      </c>
      <c r="L23" s="157"/>
    </row>
    <row r="24" spans="1:13" ht="15.75">
      <c r="A24" s="44">
        <v>2</v>
      </c>
      <c r="B24" s="44">
        <v>1</v>
      </c>
      <c r="C24" s="51">
        <v>1</v>
      </c>
      <c r="D24" s="44">
        <v>4</v>
      </c>
      <c r="E24" s="44">
        <v>1</v>
      </c>
      <c r="F24" s="65" t="s">
        <v>21</v>
      </c>
      <c r="G24" s="66">
        <v>1952077</v>
      </c>
      <c r="H24" s="68">
        <v>0</v>
      </c>
      <c r="I24" s="173"/>
      <c r="J24" s="173"/>
      <c r="K24" s="173">
        <f>+G24-H24-I24</f>
        <v>1952077</v>
      </c>
      <c r="L24" s="164"/>
    </row>
    <row r="25" spans="1:13" ht="15.75">
      <c r="A25" s="44"/>
      <c r="B25" s="44"/>
      <c r="C25" s="51"/>
      <c r="D25" s="44"/>
      <c r="E25" s="44"/>
      <c r="F25" s="65"/>
      <c r="G25" s="67"/>
      <c r="H25" s="69"/>
      <c r="I25" s="172"/>
      <c r="J25" s="172"/>
      <c r="K25" s="172"/>
      <c r="L25" s="164"/>
    </row>
    <row r="26" spans="1:13" ht="16.5" thickBot="1">
      <c r="A26" s="44">
        <v>2</v>
      </c>
      <c r="B26" s="44">
        <v>1</v>
      </c>
      <c r="C26" s="51">
        <v>1</v>
      </c>
      <c r="D26" s="44">
        <v>5</v>
      </c>
      <c r="E26" s="52"/>
      <c r="F26" s="63" t="s">
        <v>22</v>
      </c>
      <c r="G26" s="70">
        <f>G27+G30</f>
        <v>0</v>
      </c>
      <c r="H26" s="70">
        <f>H27+H30+H28+H29</f>
        <v>81734</v>
      </c>
      <c r="I26" s="81">
        <f t="shared" ref="I26:J26" si="0">I27+I30+I28+I29</f>
        <v>0</v>
      </c>
      <c r="J26" s="81">
        <f t="shared" si="0"/>
        <v>81734</v>
      </c>
      <c r="K26" s="70">
        <f>K27+K30+K28+K29</f>
        <v>-81734</v>
      </c>
      <c r="L26" s="165"/>
    </row>
    <row r="27" spans="1:13" ht="15.75">
      <c r="A27" s="44">
        <v>2</v>
      </c>
      <c r="B27" s="44">
        <v>1</v>
      </c>
      <c r="C27" s="51">
        <v>1</v>
      </c>
      <c r="D27" s="44">
        <v>5</v>
      </c>
      <c r="E27" s="44">
        <v>1</v>
      </c>
      <c r="F27" s="65" t="s">
        <v>22</v>
      </c>
      <c r="G27" s="67"/>
      <c r="H27" s="68">
        <v>0</v>
      </c>
      <c r="I27" s="172"/>
      <c r="J27" s="172">
        <f>+H27+I27</f>
        <v>0</v>
      </c>
      <c r="K27" s="172">
        <f>+G27-H27-I27</f>
        <v>0</v>
      </c>
      <c r="L27" s="164"/>
    </row>
    <row r="28" spans="1:13" ht="31.5">
      <c r="A28" s="44">
        <v>2</v>
      </c>
      <c r="B28" s="44">
        <v>1</v>
      </c>
      <c r="C28" s="51">
        <v>1</v>
      </c>
      <c r="D28" s="44">
        <v>5</v>
      </c>
      <c r="E28" s="44">
        <v>2</v>
      </c>
      <c r="F28" s="65" t="s">
        <v>23</v>
      </c>
      <c r="G28" s="67"/>
      <c r="H28" s="69">
        <v>0</v>
      </c>
      <c r="I28" s="172"/>
      <c r="J28" s="172">
        <f>+H28+I28</f>
        <v>0</v>
      </c>
      <c r="K28" s="172">
        <f>+G28-H28-I28</f>
        <v>0</v>
      </c>
      <c r="L28" s="164"/>
    </row>
    <row r="29" spans="1:13" ht="15.75">
      <c r="A29" s="44">
        <v>2</v>
      </c>
      <c r="B29" s="44">
        <v>1</v>
      </c>
      <c r="C29" s="51">
        <v>1</v>
      </c>
      <c r="D29" s="44">
        <v>5</v>
      </c>
      <c r="E29" s="44">
        <v>3</v>
      </c>
      <c r="F29" s="65" t="s">
        <v>24</v>
      </c>
      <c r="G29" s="67"/>
      <c r="H29" s="69">
        <v>81734</v>
      </c>
      <c r="I29" s="172"/>
      <c r="J29" s="172">
        <f>+H29+I29</f>
        <v>81734</v>
      </c>
      <c r="K29" s="172">
        <f>+G29-H29-I29</f>
        <v>-81734</v>
      </c>
      <c r="L29" s="164"/>
    </row>
    <row r="30" spans="1:13" ht="15.75">
      <c r="A30" s="44">
        <v>2</v>
      </c>
      <c r="B30" s="44">
        <v>1</v>
      </c>
      <c r="C30" s="51">
        <v>1</v>
      </c>
      <c r="D30" s="44">
        <v>5</v>
      </c>
      <c r="E30" s="44">
        <v>4</v>
      </c>
      <c r="F30" s="65" t="s">
        <v>25</v>
      </c>
      <c r="G30" s="67"/>
      <c r="H30" s="69"/>
      <c r="I30" s="172"/>
      <c r="J30" s="172"/>
      <c r="K30" s="172"/>
      <c r="L30" s="164"/>
    </row>
    <row r="31" spans="1:13" ht="15.75">
      <c r="A31" s="44"/>
      <c r="B31" s="44"/>
      <c r="C31" s="51"/>
      <c r="D31" s="44"/>
      <c r="E31" s="44"/>
      <c r="F31" s="65"/>
      <c r="G31" s="67"/>
      <c r="H31" s="69"/>
      <c r="I31" s="172"/>
      <c r="J31" s="172"/>
      <c r="K31" s="172"/>
      <c r="L31" s="164"/>
    </row>
    <row r="32" spans="1:13" ht="15.75">
      <c r="A32" s="44">
        <v>2</v>
      </c>
      <c r="B32" s="44">
        <v>1</v>
      </c>
      <c r="C32" s="51">
        <v>2</v>
      </c>
      <c r="D32" s="44"/>
      <c r="E32" s="44"/>
      <c r="F32" s="86" t="s">
        <v>26</v>
      </c>
      <c r="G32" s="150">
        <f>G33</f>
        <v>4734631</v>
      </c>
      <c r="H32" s="151">
        <f>H33</f>
        <v>185000</v>
      </c>
      <c r="I32" s="151">
        <f>I33</f>
        <v>0</v>
      </c>
      <c r="J32" s="151">
        <f>J33</f>
        <v>185000</v>
      </c>
      <c r="K32" s="151">
        <f>K33</f>
        <v>4549631</v>
      </c>
      <c r="L32" s="160"/>
    </row>
    <row r="33" spans="1:12" ht="16.5" thickBot="1">
      <c r="A33" s="44">
        <v>2</v>
      </c>
      <c r="B33" s="44">
        <v>1</v>
      </c>
      <c r="C33" s="44">
        <v>2</v>
      </c>
      <c r="D33" s="44">
        <v>2</v>
      </c>
      <c r="E33" s="44"/>
      <c r="F33" s="63" t="s">
        <v>27</v>
      </c>
      <c r="G33" s="54">
        <f>+G35+G36+G37+G39</f>
        <v>4734631</v>
      </c>
      <c r="H33" s="54">
        <f>+H35+H36+H37+H39</f>
        <v>185000</v>
      </c>
      <c r="I33" s="119">
        <f>+I35+I36+I37+I39</f>
        <v>0</v>
      </c>
      <c r="J33" s="119">
        <f>+J35+J36+J37+J39</f>
        <v>185000</v>
      </c>
      <c r="K33" s="54">
        <f>+K35+K36+K37+K39</f>
        <v>4549631</v>
      </c>
      <c r="L33" s="157"/>
    </row>
    <row r="34" spans="1:12" ht="31.5">
      <c r="A34" s="44">
        <v>2</v>
      </c>
      <c r="B34" s="44">
        <v>1</v>
      </c>
      <c r="C34" s="44">
        <v>2</v>
      </c>
      <c r="D34" s="44">
        <v>2</v>
      </c>
      <c r="E34" s="44">
        <v>2</v>
      </c>
      <c r="F34" s="63" t="s">
        <v>28</v>
      </c>
      <c r="G34" s="83"/>
      <c r="H34" s="55">
        <v>0</v>
      </c>
      <c r="I34" s="174"/>
      <c r="J34" s="174">
        <f>+H34+I34</f>
        <v>0</v>
      </c>
      <c r="K34" s="174">
        <v>0</v>
      </c>
      <c r="L34" s="162"/>
    </row>
    <row r="35" spans="1:12" ht="15.75">
      <c r="A35" s="44">
        <v>2</v>
      </c>
      <c r="B35" s="44">
        <v>1</v>
      </c>
      <c r="C35" s="44">
        <v>2</v>
      </c>
      <c r="D35" s="44">
        <v>2</v>
      </c>
      <c r="E35" s="44">
        <v>4</v>
      </c>
      <c r="F35" s="65" t="s">
        <v>29</v>
      </c>
      <c r="G35" s="67">
        <v>0</v>
      </c>
      <c r="H35" s="69">
        <v>0</v>
      </c>
      <c r="I35" s="172"/>
      <c r="J35" s="172">
        <f>+H35+I35</f>
        <v>0</v>
      </c>
      <c r="K35" s="172">
        <f>+G35-H35-I35</f>
        <v>0</v>
      </c>
      <c r="L35" s="164"/>
    </row>
    <row r="36" spans="1:12" ht="15.75">
      <c r="A36" s="44">
        <v>2</v>
      </c>
      <c r="B36" s="44">
        <v>1</v>
      </c>
      <c r="C36" s="44">
        <v>2</v>
      </c>
      <c r="D36" s="44">
        <v>2</v>
      </c>
      <c r="E36" s="44">
        <v>10</v>
      </c>
      <c r="F36" s="65" t="s">
        <v>149</v>
      </c>
      <c r="G36" s="67">
        <v>1208077</v>
      </c>
      <c r="H36" s="69"/>
      <c r="I36" s="172"/>
      <c r="J36" s="172">
        <f>+H36+I36</f>
        <v>0</v>
      </c>
      <c r="K36" s="172">
        <f>+G36-H36-I36</f>
        <v>1208077</v>
      </c>
      <c r="L36" s="164"/>
    </row>
    <row r="37" spans="1:12" ht="15.75">
      <c r="A37" s="44">
        <v>2</v>
      </c>
      <c r="B37" s="44">
        <v>1</v>
      </c>
      <c r="C37" s="44">
        <v>2</v>
      </c>
      <c r="D37" s="44">
        <v>2</v>
      </c>
      <c r="E37" s="44">
        <v>15</v>
      </c>
      <c r="F37" s="65" t="s">
        <v>30</v>
      </c>
      <c r="G37" s="67">
        <v>1842577</v>
      </c>
      <c r="H37" s="69"/>
      <c r="I37" s="172"/>
      <c r="J37" s="172">
        <f>+H37+I37</f>
        <v>0</v>
      </c>
      <c r="K37" s="172">
        <f>+G37-H37-I37</f>
        <v>1842577</v>
      </c>
      <c r="L37" s="164"/>
    </row>
    <row r="38" spans="1:12" ht="16.5" thickBot="1">
      <c r="A38" s="44"/>
      <c r="B38" s="44"/>
      <c r="C38" s="51"/>
      <c r="D38" s="44"/>
      <c r="E38" s="44"/>
      <c r="F38" s="65"/>
      <c r="G38" s="67"/>
      <c r="H38" s="69"/>
      <c r="I38" s="172"/>
      <c r="J38" s="172"/>
      <c r="K38" s="172"/>
      <c r="L38" s="164"/>
    </row>
    <row r="39" spans="1:12" ht="16.5" thickBot="1">
      <c r="A39" s="44">
        <v>2</v>
      </c>
      <c r="B39" s="44">
        <v>1</v>
      </c>
      <c r="C39" s="51">
        <v>3</v>
      </c>
      <c r="D39" s="44">
        <v>7</v>
      </c>
      <c r="E39" s="44"/>
      <c r="F39" s="86" t="s">
        <v>150</v>
      </c>
      <c r="G39" s="71">
        <f>+G40+G41</f>
        <v>1683977</v>
      </c>
      <c r="H39" s="71">
        <f>+H40+H41</f>
        <v>185000</v>
      </c>
      <c r="I39" s="120">
        <f>+I40+I41</f>
        <v>0</v>
      </c>
      <c r="J39" s="120">
        <f>+J40+J41</f>
        <v>185000</v>
      </c>
      <c r="K39" s="71">
        <f>+K40+K41</f>
        <v>1498977</v>
      </c>
      <c r="L39" s="157"/>
    </row>
    <row r="40" spans="1:12" ht="15.75">
      <c r="A40" s="44">
        <v>2</v>
      </c>
      <c r="B40" s="44">
        <v>1</v>
      </c>
      <c r="C40" s="51">
        <v>3</v>
      </c>
      <c r="D40" s="44">
        <v>7</v>
      </c>
      <c r="E40" s="44">
        <v>2</v>
      </c>
      <c r="F40" s="65" t="s">
        <v>151</v>
      </c>
      <c r="G40" s="67">
        <v>130000</v>
      </c>
      <c r="H40" s="69"/>
      <c r="I40" s="172"/>
      <c r="J40" s="172">
        <f>+H40+I40</f>
        <v>0</v>
      </c>
      <c r="K40" s="172">
        <f>+G40-H40-I40</f>
        <v>130000</v>
      </c>
      <c r="L40" s="164"/>
    </row>
    <row r="41" spans="1:12" ht="15.75">
      <c r="A41" s="44">
        <v>2</v>
      </c>
      <c r="B41" s="44">
        <v>1</v>
      </c>
      <c r="C41" s="51">
        <v>3</v>
      </c>
      <c r="D41" s="44">
        <v>7</v>
      </c>
      <c r="E41" s="44">
        <v>4</v>
      </c>
      <c r="F41" s="65" t="s">
        <v>152</v>
      </c>
      <c r="G41" s="67">
        <v>1553977</v>
      </c>
      <c r="H41" s="69">
        <v>185000</v>
      </c>
      <c r="I41" s="172"/>
      <c r="J41" s="172">
        <f>+H41+I41</f>
        <v>185000</v>
      </c>
      <c r="K41" s="172">
        <f>+G41-H41-I41</f>
        <v>1368977</v>
      </c>
      <c r="L41" s="164"/>
    </row>
    <row r="42" spans="1:12" ht="15.75">
      <c r="A42" s="44"/>
      <c r="B42" s="44"/>
      <c r="C42" s="51"/>
      <c r="D42" s="44"/>
      <c r="E42" s="44"/>
      <c r="F42" s="65"/>
      <c r="G42" s="67"/>
      <c r="H42" s="69"/>
      <c r="I42" s="172"/>
      <c r="J42" s="172"/>
      <c r="K42" s="172"/>
      <c r="L42" s="164"/>
    </row>
    <row r="43" spans="1:12" s="11" customFormat="1" ht="16.5" thickBot="1">
      <c r="A43" s="44">
        <v>2</v>
      </c>
      <c r="B43" s="44">
        <v>1</v>
      </c>
      <c r="C43" s="51">
        <v>3</v>
      </c>
      <c r="D43" s="44"/>
      <c r="E43" s="44"/>
      <c r="F43" s="63" t="s">
        <v>31</v>
      </c>
      <c r="G43" s="67"/>
      <c r="H43" s="69"/>
      <c r="I43" s="172"/>
      <c r="J43" s="172"/>
      <c r="K43" s="174">
        <f>SUM(K44:K46)</f>
        <v>0</v>
      </c>
      <c r="L43" s="162"/>
    </row>
    <row r="44" spans="1:12" ht="16.5" thickBot="1">
      <c r="A44" s="44">
        <v>2</v>
      </c>
      <c r="B44" s="44">
        <v>1</v>
      </c>
      <c r="C44" s="51">
        <v>3</v>
      </c>
      <c r="D44" s="44">
        <v>1</v>
      </c>
      <c r="E44" s="52"/>
      <c r="F44" s="63" t="s">
        <v>32</v>
      </c>
      <c r="G44" s="56">
        <f>G45+G46</f>
        <v>0</v>
      </c>
      <c r="H44" s="57">
        <f>H45+H46</f>
        <v>0</v>
      </c>
      <c r="I44" s="57">
        <f>I45+I46</f>
        <v>0</v>
      </c>
      <c r="J44" s="57">
        <f>J45+J46</f>
        <v>0</v>
      </c>
      <c r="K44" s="57">
        <f>K45+K46</f>
        <v>0</v>
      </c>
      <c r="L44" s="161"/>
    </row>
    <row r="45" spans="1:12" ht="15.75">
      <c r="A45" s="44">
        <v>2</v>
      </c>
      <c r="B45" s="44">
        <v>1</v>
      </c>
      <c r="C45" s="51">
        <v>3</v>
      </c>
      <c r="D45" s="44">
        <v>1</v>
      </c>
      <c r="E45" s="44">
        <v>1</v>
      </c>
      <c r="F45" s="65" t="s">
        <v>33</v>
      </c>
      <c r="G45" s="66"/>
      <c r="H45" s="69">
        <f>G45*12</f>
        <v>0</v>
      </c>
      <c r="I45" s="172"/>
      <c r="J45" s="172">
        <f>+H45+I45</f>
        <v>0</v>
      </c>
      <c r="K45" s="172">
        <f>+G45-H45-I45</f>
        <v>0</v>
      </c>
      <c r="L45" s="164"/>
    </row>
    <row r="46" spans="1:12" ht="15.75">
      <c r="A46" s="44">
        <v>2</v>
      </c>
      <c r="B46" s="44">
        <v>1</v>
      </c>
      <c r="C46" s="51">
        <v>3</v>
      </c>
      <c r="D46" s="44">
        <v>1</v>
      </c>
      <c r="E46" s="44">
        <v>2</v>
      </c>
      <c r="F46" s="65" t="s">
        <v>34</v>
      </c>
      <c r="G46" s="67"/>
      <c r="H46" s="69">
        <f>G46*12</f>
        <v>0</v>
      </c>
      <c r="I46" s="172"/>
      <c r="J46" s="172">
        <f>+H46+I46</f>
        <v>0</v>
      </c>
      <c r="K46" s="172">
        <f>+G46-H46-I46</f>
        <v>0</v>
      </c>
      <c r="L46" s="164"/>
    </row>
    <row r="47" spans="1:12" ht="15.75">
      <c r="A47" s="44"/>
      <c r="B47" s="44"/>
      <c r="C47" s="51"/>
      <c r="D47" s="44"/>
      <c r="E47" s="44"/>
      <c r="F47" s="65"/>
      <c r="G47" s="67"/>
      <c r="H47" s="69"/>
      <c r="I47" s="172"/>
      <c r="J47" s="172"/>
      <c r="K47" s="172"/>
      <c r="L47" s="164"/>
    </row>
    <row r="48" spans="1:12" ht="32.25" thickBot="1">
      <c r="A48" s="44">
        <v>2</v>
      </c>
      <c r="B48" s="73">
        <v>1</v>
      </c>
      <c r="C48" s="74">
        <v>5</v>
      </c>
      <c r="D48" s="52"/>
      <c r="E48" s="52"/>
      <c r="F48" s="63" t="s">
        <v>35</v>
      </c>
      <c r="G48" s="54">
        <f>SUM(G49:G51)</f>
        <v>3365494</v>
      </c>
      <c r="H48" s="55">
        <f>SUM(H49:H51)</f>
        <v>274979.5</v>
      </c>
      <c r="I48" s="55">
        <f>SUM(I49:I51)</f>
        <v>267535.57</v>
      </c>
      <c r="J48" s="55">
        <f>SUM(J49:J51)</f>
        <v>542515.07000000007</v>
      </c>
      <c r="K48" s="55">
        <f>SUM(K49:K51)</f>
        <v>2822978.9299999997</v>
      </c>
      <c r="L48" s="160"/>
    </row>
    <row r="49" spans="1:12" ht="15.75">
      <c r="A49" s="44">
        <v>2</v>
      </c>
      <c r="B49" s="44">
        <v>1</v>
      </c>
      <c r="C49" s="51">
        <v>5</v>
      </c>
      <c r="D49" s="44">
        <v>1</v>
      </c>
      <c r="E49" s="44"/>
      <c r="F49" s="58" t="s">
        <v>36</v>
      </c>
      <c r="G49" s="66">
        <v>1543459</v>
      </c>
      <c r="H49" s="68">
        <v>126042.25</v>
      </c>
      <c r="I49" s="68">
        <v>122590.49</v>
      </c>
      <c r="J49" s="68">
        <f>+H49+I49</f>
        <v>248632.74</v>
      </c>
      <c r="K49" s="68">
        <f>+G49-H49-I49</f>
        <v>1294826.26</v>
      </c>
      <c r="L49" s="161"/>
    </row>
    <row r="50" spans="1:12" ht="15.75">
      <c r="A50" s="44">
        <v>2</v>
      </c>
      <c r="B50" s="44">
        <v>1</v>
      </c>
      <c r="C50" s="51">
        <v>5</v>
      </c>
      <c r="D50" s="44">
        <v>2</v>
      </c>
      <c r="E50" s="44"/>
      <c r="F50" s="58" t="s">
        <v>37</v>
      </c>
      <c r="G50" s="67">
        <v>1663170</v>
      </c>
      <c r="H50" s="69">
        <v>136014.48000000001</v>
      </c>
      <c r="I50" s="69">
        <v>132557.85</v>
      </c>
      <c r="J50" s="69">
        <f>+H50+I50</f>
        <v>268572.33</v>
      </c>
      <c r="K50" s="69">
        <f>+G50-H50-I50</f>
        <v>1394597.67</v>
      </c>
      <c r="L50" s="161"/>
    </row>
    <row r="51" spans="1:12" ht="15.75">
      <c r="A51" s="44">
        <v>2</v>
      </c>
      <c r="B51" s="44">
        <v>1</v>
      </c>
      <c r="C51" s="51">
        <v>5</v>
      </c>
      <c r="D51" s="44">
        <v>3</v>
      </c>
      <c r="E51" s="44"/>
      <c r="F51" s="65" t="s">
        <v>38</v>
      </c>
      <c r="G51" s="67">
        <v>158865</v>
      </c>
      <c r="H51" s="69">
        <v>12922.77</v>
      </c>
      <c r="I51" s="69">
        <v>12387.23</v>
      </c>
      <c r="J51" s="69">
        <f>+H51+I51</f>
        <v>25310</v>
      </c>
      <c r="K51" s="69">
        <f>+G51-H51-I51</f>
        <v>133555</v>
      </c>
      <c r="L51" s="161"/>
    </row>
    <row r="52" spans="1:12" ht="15.75">
      <c r="A52" s="44"/>
      <c r="B52" s="44"/>
      <c r="C52" s="51"/>
      <c r="D52" s="44"/>
      <c r="E52" s="44"/>
      <c r="F52" s="65"/>
      <c r="G52" s="67"/>
      <c r="H52" s="69"/>
      <c r="I52" s="69"/>
      <c r="J52" s="69"/>
      <c r="K52" s="69"/>
      <c r="L52" s="161"/>
    </row>
    <row r="53" spans="1:12" ht="16.5" thickBot="1">
      <c r="A53" s="44">
        <v>2</v>
      </c>
      <c r="B53" s="44">
        <v>2</v>
      </c>
      <c r="C53" s="51"/>
      <c r="D53" s="44"/>
      <c r="E53" s="52"/>
      <c r="F53" s="53" t="s">
        <v>39</v>
      </c>
      <c r="G53" s="54">
        <f>G54+G62+G66+G70+G74+G86+G94+G82+G110</f>
        <v>19955541</v>
      </c>
      <c r="H53" s="64">
        <f>H54+H62+H66+H70+H74+H86+H94+H82+H110</f>
        <v>2925896.66</v>
      </c>
      <c r="I53" s="64">
        <f>I54+I62+I66+I70+I74+I86+I94+I82+I110</f>
        <v>2324676.38</v>
      </c>
      <c r="J53" s="64">
        <f>J54+J62+J66+J70+J74+J86+J94+J82+J110</f>
        <v>5250573.0399999991</v>
      </c>
      <c r="K53" s="64">
        <f>K54+K62+K66+K70+K74+K86+K94+K82+K110</f>
        <v>14704967.959999999</v>
      </c>
      <c r="L53" s="160"/>
    </row>
    <row r="54" spans="1:12" ht="16.5" thickBot="1">
      <c r="A54" s="44">
        <v>2</v>
      </c>
      <c r="B54" s="44">
        <v>2</v>
      </c>
      <c r="C54" s="51">
        <v>1</v>
      </c>
      <c r="D54" s="44"/>
      <c r="E54" s="52"/>
      <c r="F54" s="53" t="s">
        <v>40</v>
      </c>
      <c r="G54" s="71">
        <f>G55+G56+G57+G59</f>
        <v>2534355</v>
      </c>
      <c r="H54" s="55">
        <f>H55+H56+H57+H59</f>
        <v>138110.23000000001</v>
      </c>
      <c r="I54" s="55">
        <f>I55+I56+I57+I59</f>
        <v>151924.69</v>
      </c>
      <c r="J54" s="55">
        <f>J55+J56+J57+J59</f>
        <v>290034.92000000004</v>
      </c>
      <c r="K54" s="55">
        <f>K55+K56+K57+K59</f>
        <v>2244320.08</v>
      </c>
      <c r="L54" s="160"/>
    </row>
    <row r="55" spans="1:12" ht="15.75">
      <c r="A55" s="44">
        <v>2</v>
      </c>
      <c r="B55" s="44">
        <v>2</v>
      </c>
      <c r="C55" s="51">
        <v>1</v>
      </c>
      <c r="D55" s="44">
        <v>3</v>
      </c>
      <c r="E55" s="44"/>
      <c r="F55" s="58" t="s">
        <v>41</v>
      </c>
      <c r="G55" s="66">
        <v>306000</v>
      </c>
      <c r="H55" s="68">
        <f>22419.33+22224.9+2041+31889</f>
        <v>78574.23000000001</v>
      </c>
      <c r="I55" s="68">
        <f>31889+22647.36+22224.9+2041+10171.6</f>
        <v>88973.860000000015</v>
      </c>
      <c r="J55" s="68">
        <f>+H55+I55</f>
        <v>167548.09000000003</v>
      </c>
      <c r="K55" s="68">
        <f>+G55-H55-I55</f>
        <v>138451.90999999997</v>
      </c>
      <c r="L55" s="161"/>
    </row>
    <row r="56" spans="1:12" ht="15.75">
      <c r="A56" s="44">
        <v>2</v>
      </c>
      <c r="B56" s="44">
        <v>2</v>
      </c>
      <c r="C56" s="51">
        <v>1</v>
      </c>
      <c r="D56" s="44">
        <v>4</v>
      </c>
      <c r="E56" s="44"/>
      <c r="F56" s="58" t="s">
        <v>42</v>
      </c>
      <c r="G56" s="67">
        <v>276000</v>
      </c>
      <c r="H56" s="69"/>
      <c r="I56" s="69"/>
      <c r="J56" s="69">
        <f>+H56+I56</f>
        <v>0</v>
      </c>
      <c r="K56" s="69">
        <f>+G56-H56-I56</f>
        <v>276000</v>
      </c>
      <c r="L56" s="161"/>
    </row>
    <row r="57" spans="1:12" ht="15.75">
      <c r="A57" s="44">
        <v>2</v>
      </c>
      <c r="B57" s="44">
        <v>2</v>
      </c>
      <c r="C57" s="51">
        <v>1</v>
      </c>
      <c r="D57" s="44">
        <v>5</v>
      </c>
      <c r="E57" s="44"/>
      <c r="F57" s="58" t="s">
        <v>43</v>
      </c>
      <c r="G57" s="67">
        <v>992355</v>
      </c>
      <c r="H57" s="69"/>
      <c r="I57" s="69"/>
      <c r="J57" s="69">
        <f>+H57+I57</f>
        <v>0</v>
      </c>
      <c r="K57" s="69">
        <f>+G57-H57-I56</f>
        <v>992355</v>
      </c>
      <c r="L57" s="161"/>
    </row>
    <row r="58" spans="1:12" ht="15.75">
      <c r="A58" s="44"/>
      <c r="B58" s="44"/>
      <c r="C58" s="51"/>
      <c r="D58" s="44"/>
      <c r="E58" s="44"/>
      <c r="F58" s="58"/>
      <c r="G58" s="67"/>
      <c r="H58" s="69"/>
      <c r="I58" s="69"/>
      <c r="J58" s="69"/>
      <c r="K58" s="69"/>
      <c r="L58" s="161"/>
    </row>
    <row r="59" spans="1:12" ht="16.5" thickBot="1">
      <c r="A59" s="44">
        <v>2</v>
      </c>
      <c r="B59" s="44">
        <v>2</v>
      </c>
      <c r="C59" s="51">
        <v>1</v>
      </c>
      <c r="D59" s="44">
        <v>6</v>
      </c>
      <c r="E59" s="44"/>
      <c r="F59" s="63" t="s">
        <v>44</v>
      </c>
      <c r="G59" s="54">
        <f>G60</f>
        <v>960000</v>
      </c>
      <c r="H59" s="75">
        <f>H60</f>
        <v>59536</v>
      </c>
      <c r="I59" s="75">
        <f>I60</f>
        <v>62950.83</v>
      </c>
      <c r="J59" s="75">
        <f>J60</f>
        <v>122486.83</v>
      </c>
      <c r="K59" s="75">
        <f>K60</f>
        <v>837513.17</v>
      </c>
      <c r="L59" s="161"/>
    </row>
    <row r="60" spans="1:12" ht="15.75">
      <c r="A60" s="44">
        <v>2</v>
      </c>
      <c r="B60" s="44">
        <v>2</v>
      </c>
      <c r="C60" s="51">
        <v>1</v>
      </c>
      <c r="D60" s="44">
        <v>6</v>
      </c>
      <c r="E60" s="44">
        <v>1</v>
      </c>
      <c r="F60" s="58" t="s">
        <v>45</v>
      </c>
      <c r="G60" s="66">
        <v>960000</v>
      </c>
      <c r="H60" s="69">
        <v>59536</v>
      </c>
      <c r="I60" s="69">
        <v>62950.83</v>
      </c>
      <c r="J60" s="69">
        <f>+H60+I60</f>
        <v>122486.83</v>
      </c>
      <c r="K60" s="69">
        <f>+G60-H60-I60</f>
        <v>837513.17</v>
      </c>
      <c r="L60" s="161">
        <f>69087.95-I60</f>
        <v>6137.1199999999953</v>
      </c>
    </row>
    <row r="61" spans="1:12" ht="15.75">
      <c r="A61" s="44"/>
      <c r="B61" s="44"/>
      <c r="C61" s="51"/>
      <c r="D61" s="44"/>
      <c r="E61" s="44"/>
      <c r="F61" s="58"/>
      <c r="G61" s="67"/>
      <c r="H61" s="69"/>
      <c r="I61" s="69"/>
      <c r="J61" s="69"/>
      <c r="K61" s="69"/>
      <c r="L61" s="161"/>
    </row>
    <row r="62" spans="1:12" ht="32.25" thickBot="1">
      <c r="A62" s="44">
        <v>2</v>
      </c>
      <c r="B62" s="44">
        <v>2</v>
      </c>
      <c r="C62" s="51">
        <v>2</v>
      </c>
      <c r="D62" s="44"/>
      <c r="E62" s="44"/>
      <c r="F62" s="63" t="s">
        <v>46</v>
      </c>
      <c r="G62" s="54">
        <f>SUM(G63:G64)</f>
        <v>468493</v>
      </c>
      <c r="H62" s="55">
        <f>H63+H64</f>
        <v>3100</v>
      </c>
      <c r="I62" s="55">
        <f>I63+I64</f>
        <v>575226.86</v>
      </c>
      <c r="J62" s="55">
        <f>J63+J64</f>
        <v>578326.86</v>
      </c>
      <c r="K62" s="55">
        <f>K63+K64</f>
        <v>-109833.85999999999</v>
      </c>
      <c r="L62" s="160"/>
    </row>
    <row r="63" spans="1:12" ht="15.75">
      <c r="A63" s="44">
        <v>2</v>
      </c>
      <c r="B63" s="44">
        <v>2</v>
      </c>
      <c r="C63" s="51">
        <v>2</v>
      </c>
      <c r="D63" s="44">
        <v>1</v>
      </c>
      <c r="E63" s="44"/>
      <c r="F63" s="65" t="s">
        <v>47</v>
      </c>
      <c r="G63" s="66">
        <v>436493</v>
      </c>
      <c r="H63" s="68">
        <v>3100</v>
      </c>
      <c r="I63" s="68">
        <f>167500+347694.36+60032.5</f>
        <v>575226.86</v>
      </c>
      <c r="J63" s="68">
        <f>+H63+I63</f>
        <v>578326.86</v>
      </c>
      <c r="K63" s="68">
        <f>+G63-H63-I63</f>
        <v>-141833.85999999999</v>
      </c>
      <c r="L63" s="161"/>
    </row>
    <row r="64" spans="1:12" ht="15.75">
      <c r="A64" s="44">
        <v>2</v>
      </c>
      <c r="B64" s="44">
        <v>2</v>
      </c>
      <c r="C64" s="51">
        <v>2</v>
      </c>
      <c r="D64" s="44">
        <v>2</v>
      </c>
      <c r="E64" s="44"/>
      <c r="F64" s="65" t="s">
        <v>48</v>
      </c>
      <c r="G64" s="67">
        <v>32000</v>
      </c>
      <c r="H64" s="69"/>
      <c r="I64" s="69"/>
      <c r="J64" s="69"/>
      <c r="K64" s="69">
        <f>+G64-H64-I64</f>
        <v>32000</v>
      </c>
      <c r="L64" s="161"/>
    </row>
    <row r="65" spans="1:13" ht="15.75">
      <c r="A65" s="44"/>
      <c r="B65" s="44"/>
      <c r="C65" s="51"/>
      <c r="D65" s="44"/>
      <c r="E65" s="44"/>
      <c r="F65" s="58"/>
      <c r="G65" s="67"/>
      <c r="H65" s="69"/>
      <c r="I65" s="69"/>
      <c r="J65" s="69"/>
      <c r="K65" s="69"/>
      <c r="L65" s="161"/>
    </row>
    <row r="66" spans="1:13" ht="16.5" thickBot="1">
      <c r="A66" s="44">
        <v>2</v>
      </c>
      <c r="B66" s="44">
        <v>2</v>
      </c>
      <c r="C66" s="51">
        <v>3</v>
      </c>
      <c r="D66" s="44"/>
      <c r="E66" s="44"/>
      <c r="F66" s="63" t="s">
        <v>49</v>
      </c>
      <c r="G66" s="54">
        <f>G67+G68</f>
        <v>189190</v>
      </c>
      <c r="H66" s="64">
        <f>H67+H68</f>
        <v>1600</v>
      </c>
      <c r="I66" s="64">
        <f>I67+I68</f>
        <v>1800</v>
      </c>
      <c r="J66" s="64">
        <f>J67+J68</f>
        <v>3400</v>
      </c>
      <c r="K66" s="64">
        <f>K67+K68</f>
        <v>185790</v>
      </c>
      <c r="L66" s="160"/>
    </row>
    <row r="67" spans="1:13" ht="16.5" thickBot="1">
      <c r="A67" s="44">
        <v>2</v>
      </c>
      <c r="B67" s="44">
        <v>2</v>
      </c>
      <c r="C67" s="51">
        <v>3</v>
      </c>
      <c r="D67" s="44">
        <v>1</v>
      </c>
      <c r="E67" s="77"/>
      <c r="F67" s="65" t="s">
        <v>50</v>
      </c>
      <c r="G67" s="66">
        <v>150000</v>
      </c>
      <c r="H67" s="60">
        <f>800+800</f>
        <v>1600</v>
      </c>
      <c r="I67" s="60">
        <v>1800</v>
      </c>
      <c r="J67" s="60">
        <f>+H67+I67</f>
        <v>3400</v>
      </c>
      <c r="K67" s="60">
        <f>+G67-H67-I67</f>
        <v>146600</v>
      </c>
      <c r="L67" s="160"/>
    </row>
    <row r="68" spans="1:13" ht="15.75">
      <c r="A68" s="44">
        <v>2</v>
      </c>
      <c r="B68" s="44">
        <v>2</v>
      </c>
      <c r="C68" s="51">
        <v>3</v>
      </c>
      <c r="D68" s="44">
        <v>2</v>
      </c>
      <c r="E68" s="77"/>
      <c r="F68" s="65" t="s">
        <v>51</v>
      </c>
      <c r="G68" s="67">
        <v>39190</v>
      </c>
      <c r="H68" s="69"/>
      <c r="I68" s="69"/>
      <c r="J68" s="60">
        <f>+H68+I68</f>
        <v>0</v>
      </c>
      <c r="K68" s="69">
        <f>+G68-H68-I68</f>
        <v>39190</v>
      </c>
      <c r="L68" s="161"/>
    </row>
    <row r="69" spans="1:13" ht="15.75">
      <c r="A69" s="44"/>
      <c r="B69" s="44"/>
      <c r="C69" s="51"/>
      <c r="D69" s="44"/>
      <c r="E69" s="44"/>
      <c r="F69" s="65"/>
      <c r="G69" s="67"/>
      <c r="H69" s="69"/>
      <c r="I69" s="69"/>
      <c r="J69" s="69"/>
      <c r="K69" s="69"/>
      <c r="L69" s="161"/>
    </row>
    <row r="70" spans="1:13" ht="16.5" thickBot="1">
      <c r="A70" s="44">
        <v>2</v>
      </c>
      <c r="B70" s="44">
        <v>2</v>
      </c>
      <c r="C70" s="51">
        <v>4</v>
      </c>
      <c r="D70" s="44"/>
      <c r="E70" s="44"/>
      <c r="F70" s="63" t="s">
        <v>52</v>
      </c>
      <c r="G70" s="54">
        <f>G71+G72</f>
        <v>309000</v>
      </c>
      <c r="H70" s="64">
        <f>H71+H72</f>
        <v>3350</v>
      </c>
      <c r="I70" s="64">
        <f>I71+I72</f>
        <v>11881.9</v>
      </c>
      <c r="J70" s="64">
        <f>J71+J72</f>
        <v>15231.9</v>
      </c>
      <c r="K70" s="64">
        <f>K71+K72</f>
        <v>293768.09999999998</v>
      </c>
      <c r="L70" s="160"/>
    </row>
    <row r="71" spans="1:13" ht="15.75">
      <c r="A71" s="44">
        <v>2</v>
      </c>
      <c r="B71" s="44">
        <v>2</v>
      </c>
      <c r="C71" s="51">
        <v>4</v>
      </c>
      <c r="D71" s="44">
        <v>1</v>
      </c>
      <c r="E71" s="44"/>
      <c r="F71" s="65" t="s">
        <v>53</v>
      </c>
      <c r="G71" s="66">
        <v>309000</v>
      </c>
      <c r="H71" s="69">
        <f>50+100+100+100+3000</f>
        <v>3350</v>
      </c>
      <c r="I71" s="69">
        <f>300+10431.9+300+150+100+100+300+100+100</f>
        <v>11881.9</v>
      </c>
      <c r="J71" s="69">
        <f>+H71+I71</f>
        <v>15231.9</v>
      </c>
      <c r="K71" s="69">
        <f>+G71-H71-I71</f>
        <v>293768.09999999998</v>
      </c>
      <c r="L71" s="161"/>
    </row>
    <row r="72" spans="1:13" ht="15.75">
      <c r="A72" s="44">
        <v>2</v>
      </c>
      <c r="B72" s="44">
        <v>2</v>
      </c>
      <c r="C72" s="51">
        <v>4</v>
      </c>
      <c r="D72" s="44">
        <v>3</v>
      </c>
      <c r="E72" s="44"/>
      <c r="F72" s="65" t="s">
        <v>54</v>
      </c>
      <c r="G72" s="67"/>
      <c r="H72" s="69"/>
      <c r="I72" s="69"/>
      <c r="J72" s="69">
        <f>+H72+I72</f>
        <v>0</v>
      </c>
      <c r="K72" s="69"/>
      <c r="L72" s="161"/>
    </row>
    <row r="73" spans="1:13" ht="15.75">
      <c r="A73" s="44"/>
      <c r="B73" s="44"/>
      <c r="C73" s="51"/>
      <c r="D73" s="44"/>
      <c r="E73" s="44"/>
      <c r="F73" s="65"/>
      <c r="G73" s="67"/>
      <c r="H73" s="69"/>
      <c r="I73" s="69"/>
      <c r="J73" s="69"/>
      <c r="K73" s="69"/>
      <c r="L73" s="161"/>
    </row>
    <row r="74" spans="1:13" ht="16.5" thickBot="1">
      <c r="A74" s="44">
        <v>2</v>
      </c>
      <c r="B74" s="44">
        <v>2</v>
      </c>
      <c r="C74" s="51">
        <v>5</v>
      </c>
      <c r="D74" s="44"/>
      <c r="E74" s="44"/>
      <c r="F74" s="63" t="s">
        <v>55</v>
      </c>
      <c r="G74" s="54">
        <f>G75+G80</f>
        <v>10769766</v>
      </c>
      <c r="H74" s="55">
        <f>H77+H75</f>
        <v>852057</v>
      </c>
      <c r="I74" s="55">
        <f>I77+I75</f>
        <v>862026.98</v>
      </c>
      <c r="J74" s="55">
        <f>J77+J75</f>
        <v>1714083.98</v>
      </c>
      <c r="K74" s="55">
        <f>K77+K75</f>
        <v>9055682.0199999996</v>
      </c>
      <c r="L74" s="160"/>
    </row>
    <row r="75" spans="1:13" ht="15.75">
      <c r="A75" s="44">
        <v>2</v>
      </c>
      <c r="B75" s="44">
        <v>2</v>
      </c>
      <c r="C75" s="51">
        <v>5</v>
      </c>
      <c r="D75" s="44">
        <v>1</v>
      </c>
      <c r="E75" s="44"/>
      <c r="F75" s="58" t="s">
        <v>56</v>
      </c>
      <c r="G75" s="66">
        <v>10423558</v>
      </c>
      <c r="H75" s="68">
        <v>843797</v>
      </c>
      <c r="I75" s="68">
        <f>835591.47+18175.51</f>
        <v>853766.98</v>
      </c>
      <c r="J75" s="68">
        <f>+H75+I75</f>
        <v>1697563.98</v>
      </c>
      <c r="K75" s="68">
        <f>+G75-H75-I75</f>
        <v>8725994.0199999996</v>
      </c>
      <c r="L75" s="161"/>
    </row>
    <row r="76" spans="1:13" ht="15.75">
      <c r="A76" s="44"/>
      <c r="B76" s="44"/>
      <c r="C76" s="51"/>
      <c r="D76" s="44"/>
      <c r="E76" s="77"/>
      <c r="F76" s="65"/>
      <c r="G76" s="67"/>
      <c r="H76" s="69"/>
      <c r="I76" s="69"/>
      <c r="J76" s="69"/>
      <c r="K76" s="69"/>
      <c r="L76" s="161"/>
    </row>
    <row r="77" spans="1:13" ht="16.5" thickBot="1">
      <c r="A77" s="44">
        <v>2</v>
      </c>
      <c r="B77" s="44">
        <v>2</v>
      </c>
      <c r="C77" s="51">
        <v>5</v>
      </c>
      <c r="D77" s="44">
        <v>3</v>
      </c>
      <c r="E77" s="52"/>
      <c r="F77" s="63" t="s">
        <v>57</v>
      </c>
      <c r="G77" s="54">
        <f>G78+G79+G80</f>
        <v>346208</v>
      </c>
      <c r="H77" s="64">
        <f>H78+H79+H80</f>
        <v>8260</v>
      </c>
      <c r="I77" s="64">
        <f>I78+I79+I80</f>
        <v>8260</v>
      </c>
      <c r="J77" s="64">
        <f>J78+J79+J80</f>
        <v>16520</v>
      </c>
      <c r="K77" s="64">
        <f>K78+K79+K80</f>
        <v>329688</v>
      </c>
      <c r="L77" s="160"/>
    </row>
    <row r="78" spans="1:13" ht="15.75">
      <c r="A78" s="44">
        <v>2</v>
      </c>
      <c r="B78" s="44">
        <v>2</v>
      </c>
      <c r="C78" s="51">
        <v>5</v>
      </c>
      <c r="D78" s="44">
        <v>3</v>
      </c>
      <c r="E78" s="44">
        <v>2</v>
      </c>
      <c r="F78" s="58" t="s">
        <v>58</v>
      </c>
      <c r="G78" s="66"/>
      <c r="H78" s="69">
        <v>0</v>
      </c>
      <c r="I78" s="69"/>
      <c r="J78" s="69">
        <f>+H78+I78</f>
        <v>0</v>
      </c>
      <c r="K78" s="69">
        <f>+G78-H78-I78</f>
        <v>0</v>
      </c>
      <c r="L78" s="161"/>
    </row>
    <row r="79" spans="1:13" s="12" customFormat="1" ht="15.75">
      <c r="A79" s="44">
        <v>2</v>
      </c>
      <c r="B79" s="44">
        <v>2</v>
      </c>
      <c r="C79" s="51">
        <v>5</v>
      </c>
      <c r="D79" s="44">
        <v>3</v>
      </c>
      <c r="E79" s="44">
        <v>3</v>
      </c>
      <c r="F79" s="58" t="s">
        <v>59</v>
      </c>
      <c r="G79" s="67"/>
      <c r="H79" s="69"/>
      <c r="I79" s="69"/>
      <c r="J79" s="69">
        <f>+H79+I79</f>
        <v>0</v>
      </c>
      <c r="K79" s="69">
        <f>+G79-H79-I79</f>
        <v>0</v>
      </c>
      <c r="L79" s="161"/>
      <c r="M79" s="196"/>
    </row>
    <row r="80" spans="1:13" ht="15.75">
      <c r="A80" s="44">
        <v>2</v>
      </c>
      <c r="B80" s="44">
        <v>2</v>
      </c>
      <c r="C80" s="51">
        <v>5</v>
      </c>
      <c r="D80" s="44">
        <v>3</v>
      </c>
      <c r="E80" s="44">
        <v>4</v>
      </c>
      <c r="F80" s="58" t="s">
        <v>60</v>
      </c>
      <c r="G80" s="67">
        <v>346208</v>
      </c>
      <c r="H80" s="69">
        <v>8260</v>
      </c>
      <c r="I80" s="69">
        <v>8260</v>
      </c>
      <c r="J80" s="69">
        <f>+H80+I80</f>
        <v>16520</v>
      </c>
      <c r="K80" s="69">
        <f>+G80-H80-I80</f>
        <v>329688</v>
      </c>
      <c r="L80" s="161"/>
    </row>
    <row r="81" spans="1:13" ht="16.5" thickBot="1">
      <c r="A81" s="44"/>
      <c r="B81" s="44"/>
      <c r="C81" s="51"/>
      <c r="D81" s="44"/>
      <c r="E81" s="44"/>
      <c r="F81" s="58"/>
      <c r="G81" s="67"/>
      <c r="H81" s="69"/>
      <c r="I81" s="69"/>
      <c r="J81" s="69"/>
      <c r="K81" s="69"/>
      <c r="L81" s="161"/>
    </row>
    <row r="82" spans="1:13" ht="16.5" thickBot="1">
      <c r="A82" s="44">
        <v>2</v>
      </c>
      <c r="B82" s="44">
        <v>2</v>
      </c>
      <c r="C82" s="51">
        <v>6</v>
      </c>
      <c r="D82" s="44"/>
      <c r="E82" s="44"/>
      <c r="F82" s="58" t="s">
        <v>61</v>
      </c>
      <c r="G82" s="71">
        <f>G84+G83</f>
        <v>1955017</v>
      </c>
      <c r="H82" s="72">
        <f>H84+H83</f>
        <v>125469</v>
      </c>
      <c r="I82" s="72">
        <f>I84+I83</f>
        <v>225520.55</v>
      </c>
      <c r="J82" s="72">
        <f>J84+J83</f>
        <v>350989.55</v>
      </c>
      <c r="K82" s="72">
        <f>K84+K83</f>
        <v>1604027.4500000002</v>
      </c>
      <c r="L82" s="160"/>
    </row>
    <row r="83" spans="1:13" ht="16.5" thickBot="1">
      <c r="A83" s="78">
        <v>2</v>
      </c>
      <c r="B83" s="78">
        <v>2</v>
      </c>
      <c r="C83" s="79">
        <v>6</v>
      </c>
      <c r="D83" s="78">
        <v>2</v>
      </c>
      <c r="E83" s="78">
        <v>1</v>
      </c>
      <c r="F83" s="80" t="s">
        <v>62</v>
      </c>
      <c r="G83" s="81">
        <v>203017</v>
      </c>
      <c r="H83" s="81"/>
      <c r="I83" s="81">
        <v>18085.88</v>
      </c>
      <c r="J83" s="81">
        <f>+H83+I83</f>
        <v>18085.88</v>
      </c>
      <c r="K83" s="81">
        <f>+G83-J83</f>
        <v>184931.12</v>
      </c>
      <c r="L83" s="166"/>
    </row>
    <row r="84" spans="1:13" ht="15.75">
      <c r="A84" s="44">
        <v>2</v>
      </c>
      <c r="B84" s="44">
        <v>2</v>
      </c>
      <c r="C84" s="51">
        <v>6</v>
      </c>
      <c r="D84" s="44">
        <v>3</v>
      </c>
      <c r="E84" s="44">
        <v>1</v>
      </c>
      <c r="F84" s="58" t="s">
        <v>63</v>
      </c>
      <c r="G84" s="67">
        <v>1752000</v>
      </c>
      <c r="H84" s="69">
        <v>125469</v>
      </c>
      <c r="I84" s="69">
        <f>40924.8+23071.95+17052+126385.92</f>
        <v>207434.66999999998</v>
      </c>
      <c r="J84" s="69">
        <f>+H84+I84</f>
        <v>332903.67</v>
      </c>
      <c r="K84" s="69">
        <f>+G84-J84</f>
        <v>1419096.33</v>
      </c>
      <c r="L84" s="161"/>
    </row>
    <row r="85" spans="1:13" ht="15.75">
      <c r="A85" s="44"/>
      <c r="B85" s="44"/>
      <c r="C85" s="51"/>
      <c r="D85" s="44"/>
      <c r="E85" s="44"/>
      <c r="F85" s="58"/>
      <c r="G85" s="67"/>
      <c r="H85" s="69">
        <v>0</v>
      </c>
      <c r="I85" s="69"/>
      <c r="J85" s="69"/>
      <c r="K85" s="69">
        <v>0</v>
      </c>
      <c r="L85" s="161"/>
    </row>
    <row r="86" spans="1:13" ht="32.25" thickBot="1">
      <c r="A86" s="44">
        <v>2</v>
      </c>
      <c r="B86" s="44">
        <v>2</v>
      </c>
      <c r="C86" s="51">
        <v>7</v>
      </c>
      <c r="D86" s="44"/>
      <c r="E86" s="52"/>
      <c r="F86" s="63" t="s">
        <v>64</v>
      </c>
      <c r="G86" s="83">
        <f>G87</f>
        <v>370000</v>
      </c>
      <c r="H86" s="55">
        <f>SUM(H88:H92)</f>
        <v>2600</v>
      </c>
      <c r="I86" s="55">
        <f>SUM(I88:I92)</f>
        <v>37264.089999999997</v>
      </c>
      <c r="J86" s="55">
        <f>SUM(J88:J92)</f>
        <v>39864.089999999997</v>
      </c>
      <c r="K86" s="55">
        <f>SUM(K88:K92)</f>
        <v>330135.91000000003</v>
      </c>
      <c r="L86" s="160"/>
    </row>
    <row r="87" spans="1:13" ht="16.5" thickBot="1">
      <c r="A87" s="44">
        <v>2</v>
      </c>
      <c r="B87" s="44">
        <v>2</v>
      </c>
      <c r="C87" s="51">
        <v>7</v>
      </c>
      <c r="D87" s="44">
        <v>2</v>
      </c>
      <c r="E87" s="52"/>
      <c r="F87" s="63" t="s">
        <v>65</v>
      </c>
      <c r="G87" s="71">
        <f>SUM(G89:G92)</f>
        <v>370000</v>
      </c>
      <c r="H87" s="120">
        <f>SUM(H88:H92)</f>
        <v>2600</v>
      </c>
      <c r="I87" s="120">
        <f>SUM(I88:I92)</f>
        <v>37264.089999999997</v>
      </c>
      <c r="J87" s="120">
        <f t="shared" ref="J87:J92" si="1">+H87+I87</f>
        <v>39864.089999999997</v>
      </c>
      <c r="K87" s="120">
        <f>SUM(K88:K92)</f>
        <v>330135.91000000003</v>
      </c>
      <c r="L87" s="167"/>
    </row>
    <row r="88" spans="1:13" ht="31.5">
      <c r="A88" s="44">
        <v>2</v>
      </c>
      <c r="B88" s="44">
        <v>2</v>
      </c>
      <c r="C88" s="51">
        <v>7</v>
      </c>
      <c r="D88" s="44">
        <v>1</v>
      </c>
      <c r="E88" s="77">
        <v>2</v>
      </c>
      <c r="F88" s="84" t="s">
        <v>66</v>
      </c>
      <c r="G88" s="83"/>
      <c r="H88" s="121"/>
      <c r="I88" s="121"/>
      <c r="J88" s="121">
        <f t="shared" si="1"/>
        <v>0</v>
      </c>
      <c r="K88" s="121">
        <f>+G88-H88-I88</f>
        <v>0</v>
      </c>
      <c r="L88" s="167"/>
      <c r="M88">
        <f>1000/20</f>
        <v>50</v>
      </c>
    </row>
    <row r="89" spans="1:13" ht="31.5">
      <c r="A89" s="44">
        <v>2</v>
      </c>
      <c r="B89" s="44">
        <v>2</v>
      </c>
      <c r="C89" s="51">
        <v>7</v>
      </c>
      <c r="D89" s="44">
        <v>2</v>
      </c>
      <c r="E89" s="77">
        <v>2</v>
      </c>
      <c r="F89" s="84" t="s">
        <v>67</v>
      </c>
      <c r="G89" s="67">
        <v>70000</v>
      </c>
      <c r="H89" s="69">
        <v>0</v>
      </c>
      <c r="I89" s="69"/>
      <c r="J89" s="69">
        <f t="shared" si="1"/>
        <v>0</v>
      </c>
      <c r="K89" s="69">
        <f>+G89-H89-I89</f>
        <v>70000</v>
      </c>
      <c r="L89" s="161"/>
    </row>
    <row r="90" spans="1:13" ht="31.5">
      <c r="A90" s="44">
        <v>2</v>
      </c>
      <c r="B90" s="44">
        <v>2</v>
      </c>
      <c r="C90" s="51">
        <v>7</v>
      </c>
      <c r="D90" s="44">
        <v>2</v>
      </c>
      <c r="E90" s="77">
        <v>3</v>
      </c>
      <c r="F90" s="84" t="s">
        <v>68</v>
      </c>
      <c r="G90" s="67"/>
      <c r="H90" s="69">
        <f>G90*12</f>
        <v>0</v>
      </c>
      <c r="I90" s="69"/>
      <c r="J90" s="69">
        <f t="shared" si="1"/>
        <v>0</v>
      </c>
      <c r="K90" s="69">
        <f>+G90-H90-I90</f>
        <v>0</v>
      </c>
      <c r="L90" s="161"/>
    </row>
    <row r="91" spans="1:13" ht="31.5">
      <c r="A91" s="44">
        <v>2</v>
      </c>
      <c r="B91" s="44">
        <v>2</v>
      </c>
      <c r="C91" s="51">
        <v>7</v>
      </c>
      <c r="D91" s="44">
        <v>2</v>
      </c>
      <c r="E91" s="77">
        <v>4</v>
      </c>
      <c r="F91" s="84" t="s">
        <v>69</v>
      </c>
      <c r="G91" s="67">
        <v>100000</v>
      </c>
      <c r="H91" s="69"/>
      <c r="I91" s="69"/>
      <c r="J91" s="69">
        <f t="shared" si="1"/>
        <v>0</v>
      </c>
      <c r="K91" s="69">
        <f>+G91-H91-I91</f>
        <v>100000</v>
      </c>
      <c r="L91" s="161"/>
    </row>
    <row r="92" spans="1:13" ht="31.5">
      <c r="A92" s="44">
        <v>2</v>
      </c>
      <c r="B92" s="44">
        <v>2</v>
      </c>
      <c r="C92" s="51">
        <v>7</v>
      </c>
      <c r="D92" s="44">
        <v>2</v>
      </c>
      <c r="E92" s="77">
        <v>6</v>
      </c>
      <c r="F92" s="84" t="s">
        <v>70</v>
      </c>
      <c r="G92" s="67">
        <v>200000</v>
      </c>
      <c r="H92" s="69">
        <f>1300+100+550+100+550</f>
        <v>2600</v>
      </c>
      <c r="I92" s="69">
        <f>9595.98+18218.11+1500+7000+300+100+550</f>
        <v>37264.089999999997</v>
      </c>
      <c r="J92" s="69">
        <f t="shared" si="1"/>
        <v>39864.089999999997</v>
      </c>
      <c r="K92" s="69">
        <f>+G92-H92-I92</f>
        <v>160135.91</v>
      </c>
      <c r="L92" s="161"/>
    </row>
    <row r="93" spans="1:13" ht="15.75">
      <c r="A93" s="44"/>
      <c r="B93" s="44"/>
      <c r="C93" s="51"/>
      <c r="D93" s="44"/>
      <c r="E93" s="77"/>
      <c r="F93" s="65"/>
      <c r="G93" s="67"/>
      <c r="H93" s="69"/>
      <c r="I93" s="69"/>
      <c r="J93" s="69"/>
      <c r="K93" s="69"/>
      <c r="L93" s="161"/>
    </row>
    <row r="94" spans="1:13" ht="16.5" thickBot="1">
      <c r="A94" s="44">
        <v>2</v>
      </c>
      <c r="B94" s="44">
        <v>2</v>
      </c>
      <c r="C94" s="51">
        <v>8</v>
      </c>
      <c r="D94" s="44"/>
      <c r="E94" s="52"/>
      <c r="F94" s="63" t="s">
        <v>71</v>
      </c>
      <c r="G94" s="83">
        <f>SUM(G95+G96)+G98+G103</f>
        <v>3179720</v>
      </c>
      <c r="H94" s="55">
        <f>H95+H96+H98+H103</f>
        <v>1717783.27</v>
      </c>
      <c r="I94" s="55">
        <f>I95+I96+I98+I103</f>
        <v>451655.91</v>
      </c>
      <c r="J94" s="55">
        <f>J95+J96+J98+J103</f>
        <v>2169439.1799999997</v>
      </c>
      <c r="K94" s="55">
        <f>K95+K96+K98+K103</f>
        <v>1010280.8200000001</v>
      </c>
      <c r="L94" s="160"/>
    </row>
    <row r="95" spans="1:13" ht="15.75">
      <c r="A95" s="44">
        <v>2</v>
      </c>
      <c r="B95" s="44">
        <v>2</v>
      </c>
      <c r="C95" s="51">
        <v>8</v>
      </c>
      <c r="D95" s="44">
        <v>2</v>
      </c>
      <c r="E95" s="77"/>
      <c r="F95" s="85" t="s">
        <v>72</v>
      </c>
      <c r="G95" s="66">
        <v>111600</v>
      </c>
      <c r="H95" s="68">
        <f>60+60+7601</f>
        <v>7721</v>
      </c>
      <c r="I95" s="68">
        <f>60+60+60+11879.99</f>
        <v>12059.99</v>
      </c>
      <c r="J95" s="68">
        <f>+H95+I95</f>
        <v>19780.989999999998</v>
      </c>
      <c r="K95" s="68">
        <f>+G95-H95-I95</f>
        <v>91819.01</v>
      </c>
      <c r="L95" s="161"/>
    </row>
    <row r="96" spans="1:13" ht="15.75">
      <c r="A96" s="44">
        <v>2</v>
      </c>
      <c r="B96" s="44">
        <v>2</v>
      </c>
      <c r="C96" s="51">
        <v>8</v>
      </c>
      <c r="D96" s="44">
        <v>4</v>
      </c>
      <c r="E96" s="44"/>
      <c r="F96" s="85" t="s">
        <v>73</v>
      </c>
      <c r="G96" s="67">
        <v>0</v>
      </c>
      <c r="H96" s="69">
        <v>0</v>
      </c>
      <c r="I96" s="69"/>
      <c r="J96" s="69"/>
      <c r="K96" s="69">
        <f>+G96-H96-I96</f>
        <v>0</v>
      </c>
      <c r="L96" s="161"/>
    </row>
    <row r="97" spans="1:13" ht="15.75">
      <c r="A97" s="44"/>
      <c r="B97" s="44"/>
      <c r="C97" s="51"/>
      <c r="D97" s="44"/>
      <c r="E97" s="44"/>
      <c r="F97" s="85"/>
      <c r="G97" s="67"/>
      <c r="H97" s="69"/>
      <c r="I97" s="69"/>
      <c r="J97" s="69"/>
      <c r="K97" s="69"/>
      <c r="L97" s="161"/>
    </row>
    <row r="98" spans="1:13" ht="16.5" thickBot="1">
      <c r="A98" s="44">
        <v>2</v>
      </c>
      <c r="B98" s="44">
        <v>2</v>
      </c>
      <c r="C98" s="51">
        <v>8</v>
      </c>
      <c r="D98" s="44">
        <v>6</v>
      </c>
      <c r="E98" s="52"/>
      <c r="F98" s="86" t="s">
        <v>74</v>
      </c>
      <c r="G98" s="83">
        <f>G99+G100</f>
        <v>1332334</v>
      </c>
      <c r="H98" s="75">
        <f>H99+H100+H101</f>
        <v>436665.85</v>
      </c>
      <c r="I98" s="75">
        <f>I99+I100+I101</f>
        <v>16986</v>
      </c>
      <c r="J98" s="75">
        <f>J99+J100+J101</f>
        <v>453651.85</v>
      </c>
      <c r="K98" s="75">
        <f>K99+K100+K101</f>
        <v>878682.14999999991</v>
      </c>
      <c r="L98" s="161"/>
    </row>
    <row r="99" spans="1:13" ht="15.75">
      <c r="A99" s="44">
        <v>2</v>
      </c>
      <c r="B99" s="44">
        <v>2</v>
      </c>
      <c r="C99" s="51">
        <v>8</v>
      </c>
      <c r="D99" s="44">
        <v>6</v>
      </c>
      <c r="E99" s="44">
        <v>1</v>
      </c>
      <c r="F99" s="85" t="s">
        <v>75</v>
      </c>
      <c r="G99" s="149">
        <v>1182334</v>
      </c>
      <c r="H99" s="68">
        <v>0</v>
      </c>
      <c r="I99" s="68"/>
      <c r="J99" s="68">
        <f>+H99+I99</f>
        <v>0</v>
      </c>
      <c r="K99" s="68">
        <f>+G99-H99-I99</f>
        <v>1182334</v>
      </c>
      <c r="L99" s="161"/>
    </row>
    <row r="100" spans="1:13" ht="15.75">
      <c r="A100" s="44">
        <v>2</v>
      </c>
      <c r="B100" s="44">
        <v>2</v>
      </c>
      <c r="C100" s="51">
        <v>8</v>
      </c>
      <c r="D100" s="44">
        <v>6</v>
      </c>
      <c r="E100" s="44">
        <v>2</v>
      </c>
      <c r="F100" s="85" t="s">
        <v>76</v>
      </c>
      <c r="G100" s="67">
        <v>150000</v>
      </c>
      <c r="H100" s="69">
        <v>3799.85</v>
      </c>
      <c r="I100" s="69">
        <f>11900+826+2900+1360</f>
        <v>16986</v>
      </c>
      <c r="J100" s="69">
        <f>+H100+I100</f>
        <v>20785.849999999999</v>
      </c>
      <c r="K100" s="69">
        <f>+G100-H100-I100</f>
        <v>129214.15</v>
      </c>
      <c r="L100" s="161"/>
      <c r="M100" s="183"/>
    </row>
    <row r="101" spans="1:13" ht="15.75">
      <c r="A101" s="44">
        <v>2</v>
      </c>
      <c r="B101" s="44">
        <v>2</v>
      </c>
      <c r="C101" s="51">
        <v>8</v>
      </c>
      <c r="D101" s="44">
        <v>6</v>
      </c>
      <c r="E101" s="44">
        <v>3</v>
      </c>
      <c r="F101" s="85" t="s">
        <v>148</v>
      </c>
      <c r="G101" s="67"/>
      <c r="H101" s="69">
        <f>427556+5310</f>
        <v>432866</v>
      </c>
      <c r="I101" s="69"/>
      <c r="J101" s="69">
        <f>+H101+I101</f>
        <v>432866</v>
      </c>
      <c r="K101" s="69">
        <f>+G101-H101-I101</f>
        <v>-432866</v>
      </c>
      <c r="L101" s="161"/>
    </row>
    <row r="102" spans="1:13" ht="15.75">
      <c r="A102" s="44"/>
      <c r="B102" s="44"/>
      <c r="C102" s="51"/>
      <c r="D102" s="44"/>
      <c r="E102" s="44"/>
      <c r="F102" s="85"/>
      <c r="G102" s="67"/>
      <c r="H102" s="69">
        <v>0</v>
      </c>
      <c r="I102" s="69"/>
      <c r="J102" s="69"/>
      <c r="K102" s="69">
        <v>0</v>
      </c>
      <c r="L102" s="161"/>
    </row>
    <row r="103" spans="1:13" ht="15.75">
      <c r="A103" s="44">
        <v>2</v>
      </c>
      <c r="B103" s="44">
        <v>2</v>
      </c>
      <c r="C103" s="51">
        <v>8</v>
      </c>
      <c r="D103" s="44">
        <v>7</v>
      </c>
      <c r="E103" s="52"/>
      <c r="F103" s="86" t="s">
        <v>77</v>
      </c>
      <c r="G103" s="87">
        <f>G104+G105+G106+G107+G108</f>
        <v>1735786</v>
      </c>
      <c r="H103" s="76">
        <f>H104+H105+H106+H107+H108</f>
        <v>1273396.42</v>
      </c>
      <c r="I103" s="76">
        <f>I104+I105+I106+I107+I108</f>
        <v>422609.91999999998</v>
      </c>
      <c r="J103" s="76">
        <f>J104+J105+J106+J107+J108</f>
        <v>1696006.3399999999</v>
      </c>
      <c r="K103" s="76">
        <f>K104+K105+K106+K107+K108</f>
        <v>39779.660000000149</v>
      </c>
      <c r="L103" s="160"/>
    </row>
    <row r="104" spans="1:13" ht="15.75">
      <c r="A104" s="44">
        <v>2</v>
      </c>
      <c r="B104" s="44">
        <v>2</v>
      </c>
      <c r="C104" s="51">
        <v>8</v>
      </c>
      <c r="D104" s="44">
        <v>7</v>
      </c>
      <c r="E104" s="44">
        <v>1</v>
      </c>
      <c r="F104" s="65" t="s">
        <v>78</v>
      </c>
      <c r="G104" s="67">
        <v>326769</v>
      </c>
      <c r="H104" s="69">
        <v>0</v>
      </c>
      <c r="I104" s="69"/>
      <c r="J104" s="69">
        <f>+H104+I104</f>
        <v>0</v>
      </c>
      <c r="K104" s="69">
        <f>+G104-H104-I104</f>
        <v>326769</v>
      </c>
      <c r="L104" s="161"/>
    </row>
    <row r="105" spans="1:13" ht="15.75">
      <c r="A105" s="44">
        <v>2</v>
      </c>
      <c r="B105" s="44">
        <v>2</v>
      </c>
      <c r="C105" s="51">
        <v>8</v>
      </c>
      <c r="D105" s="44">
        <v>7</v>
      </c>
      <c r="E105" s="77">
        <v>3</v>
      </c>
      <c r="F105" s="65" t="s">
        <v>79</v>
      </c>
      <c r="G105" s="67">
        <v>300000</v>
      </c>
      <c r="H105" s="69"/>
      <c r="I105" s="69"/>
      <c r="J105" s="69">
        <f>+H105+I105</f>
        <v>0</v>
      </c>
      <c r="K105" s="69">
        <f>+G105-H105-I105</f>
        <v>300000</v>
      </c>
      <c r="L105" s="161"/>
      <c r="M105" s="183"/>
    </row>
    <row r="106" spans="1:13" ht="15.75">
      <c r="A106" s="44">
        <v>2</v>
      </c>
      <c r="B106" s="44">
        <v>2</v>
      </c>
      <c r="C106" s="51">
        <v>8</v>
      </c>
      <c r="D106" s="44">
        <v>7</v>
      </c>
      <c r="E106" s="44">
        <v>4</v>
      </c>
      <c r="F106" s="65" t="s">
        <v>80</v>
      </c>
      <c r="G106" s="67">
        <v>50000</v>
      </c>
      <c r="H106" s="69">
        <v>11800</v>
      </c>
      <c r="I106" s="69"/>
      <c r="J106" s="69">
        <f>+H106+I106</f>
        <v>11800</v>
      </c>
      <c r="K106" s="69">
        <f>+G106-H106-I106</f>
        <v>38200</v>
      </c>
      <c r="L106" s="161"/>
    </row>
    <row r="107" spans="1:13" ht="31.5">
      <c r="A107" s="44">
        <v>2</v>
      </c>
      <c r="B107" s="44">
        <v>2</v>
      </c>
      <c r="C107" s="51">
        <v>8</v>
      </c>
      <c r="D107" s="44">
        <v>7</v>
      </c>
      <c r="E107" s="44">
        <v>5</v>
      </c>
      <c r="F107" s="65" t="s">
        <v>81</v>
      </c>
      <c r="G107" s="67">
        <v>275023</v>
      </c>
      <c r="H107" s="69"/>
      <c r="I107" s="69">
        <v>10286</v>
      </c>
      <c r="J107" s="69">
        <f>+H107+I107</f>
        <v>10286</v>
      </c>
      <c r="K107" s="69">
        <f>+G107-H107-I107</f>
        <v>264737</v>
      </c>
      <c r="L107" s="161"/>
    </row>
    <row r="108" spans="1:13" ht="15.75">
      <c r="A108" s="44">
        <v>2</v>
      </c>
      <c r="B108" s="44">
        <v>2</v>
      </c>
      <c r="C108" s="51">
        <v>8</v>
      </c>
      <c r="D108" s="44">
        <v>7</v>
      </c>
      <c r="E108" s="44">
        <v>6</v>
      </c>
      <c r="F108" s="65" t="s">
        <v>82</v>
      </c>
      <c r="G108" s="67">
        <v>783994</v>
      </c>
      <c r="H108" s="69">
        <f>47200+14750+21240+38150+31498.92+232932+436600+144225.5+295000</f>
        <v>1261596.42</v>
      </c>
      <c r="I108" s="69">
        <f>64900+144225+600+31498.92+171100</f>
        <v>412323.92</v>
      </c>
      <c r="J108" s="69">
        <f>+H108+I108</f>
        <v>1673920.3399999999</v>
      </c>
      <c r="K108" s="69">
        <f>+G108-H108-I108</f>
        <v>-889926.33999999985</v>
      </c>
      <c r="L108" s="161"/>
    </row>
    <row r="109" spans="1:13" ht="16.5" thickBot="1">
      <c r="A109" s="44"/>
      <c r="B109" s="44"/>
      <c r="C109" s="51"/>
      <c r="D109" s="44"/>
      <c r="E109" s="44"/>
      <c r="F109" s="65"/>
      <c r="G109" s="70"/>
      <c r="H109" s="75"/>
      <c r="I109" s="75"/>
      <c r="J109" s="75"/>
      <c r="K109" s="75"/>
      <c r="L109" s="161"/>
    </row>
    <row r="110" spans="1:13" ht="16.5" thickBot="1">
      <c r="A110" s="44">
        <v>2</v>
      </c>
      <c r="B110" s="44">
        <v>2</v>
      </c>
      <c r="C110" s="51">
        <v>9</v>
      </c>
      <c r="D110" s="44"/>
      <c r="E110" s="44"/>
      <c r="F110" s="63" t="s">
        <v>83</v>
      </c>
      <c r="G110" s="59">
        <f>G111+G112</f>
        <v>180000</v>
      </c>
      <c r="H110" s="122">
        <f>H111+H112</f>
        <v>81827.16</v>
      </c>
      <c r="I110" s="122">
        <f>I111+I112</f>
        <v>7375.4</v>
      </c>
      <c r="J110" s="122">
        <f>J111+J112</f>
        <v>89202.559999999998</v>
      </c>
      <c r="K110" s="122">
        <f>K111+K112</f>
        <v>90797.440000000002</v>
      </c>
      <c r="L110" s="167"/>
    </row>
    <row r="111" spans="1:13" ht="16.5" thickBot="1">
      <c r="A111" s="44">
        <v>2</v>
      </c>
      <c r="B111" s="44">
        <v>2</v>
      </c>
      <c r="C111" s="51">
        <v>9</v>
      </c>
      <c r="D111" s="44">
        <v>2</v>
      </c>
      <c r="E111" s="44"/>
      <c r="F111" s="85" t="s">
        <v>84</v>
      </c>
      <c r="G111" s="56"/>
      <c r="H111" s="88"/>
      <c r="I111" s="88"/>
      <c r="J111" s="88"/>
      <c r="K111" s="88"/>
      <c r="L111" s="168"/>
    </row>
    <row r="112" spans="1:13" ht="15.75">
      <c r="A112" s="44">
        <v>2</v>
      </c>
      <c r="B112" s="44">
        <v>2</v>
      </c>
      <c r="C112" s="51">
        <v>9</v>
      </c>
      <c r="D112" s="44">
        <v>2</v>
      </c>
      <c r="E112" s="44">
        <v>1</v>
      </c>
      <c r="F112" s="65" t="s">
        <v>84</v>
      </c>
      <c r="G112" s="67">
        <v>180000</v>
      </c>
      <c r="H112" s="69">
        <f>2679+340+1804.55+272+73228.45+175+100+340+25+1049.96+410+505+898.2</f>
        <v>81827.16</v>
      </c>
      <c r="I112" s="69">
        <f>1146.75+603+204+340+50+853.75+464.9+408+3100+205</f>
        <v>7375.4</v>
      </c>
      <c r="J112" s="69">
        <f>+H112+I112</f>
        <v>89202.559999999998</v>
      </c>
      <c r="K112" s="69">
        <f>+G112-H112-I112</f>
        <v>90797.440000000002</v>
      </c>
      <c r="L112" s="161"/>
    </row>
    <row r="113" spans="1:12" ht="15.75">
      <c r="A113" s="44"/>
      <c r="B113" s="44"/>
      <c r="C113" s="51"/>
      <c r="D113" s="44"/>
      <c r="E113" s="44"/>
      <c r="F113" s="65"/>
      <c r="G113" s="67"/>
      <c r="H113" s="69"/>
      <c r="I113" s="69"/>
      <c r="J113" s="69"/>
      <c r="K113" s="69"/>
      <c r="L113" s="161"/>
    </row>
    <row r="114" spans="1:12" ht="16.5" thickBot="1">
      <c r="A114" s="44">
        <v>2</v>
      </c>
      <c r="B114" s="44">
        <v>3</v>
      </c>
      <c r="C114" s="51"/>
      <c r="D114" s="44"/>
      <c r="E114" s="52"/>
      <c r="F114" s="63" t="s">
        <v>85</v>
      </c>
      <c r="G114" s="54">
        <f>G115+G119+G122+G128+G132+G140</f>
        <v>606500</v>
      </c>
      <c r="H114" s="119">
        <f>H115+H119+H122+H128+H132+H140</f>
        <v>26666.35</v>
      </c>
      <c r="I114" s="119">
        <f>I115+I119+I122+I128+I132+I140</f>
        <v>93227.65</v>
      </c>
      <c r="J114" s="119">
        <f>J115+J119+J122+J128+J132+J140</f>
        <v>119894</v>
      </c>
      <c r="K114" s="119">
        <f>K115+K119+K122+K128+K132+K140</f>
        <v>486605.99999999988</v>
      </c>
      <c r="L114" s="167"/>
    </row>
    <row r="115" spans="1:12" ht="12" customHeight="1" thickBot="1">
      <c r="A115" s="44">
        <v>2</v>
      </c>
      <c r="B115" s="44">
        <v>3</v>
      </c>
      <c r="C115" s="51">
        <v>1</v>
      </c>
      <c r="D115" s="44"/>
      <c r="E115" s="52"/>
      <c r="F115" s="89" t="s">
        <v>86</v>
      </c>
      <c r="G115" s="71">
        <f>G116</f>
        <v>0</v>
      </c>
      <c r="H115" s="72">
        <f>H116</f>
        <v>0</v>
      </c>
      <c r="I115" s="72"/>
      <c r="J115" s="72"/>
      <c r="K115" s="72">
        <f>K116</f>
        <v>0</v>
      </c>
      <c r="L115" s="160"/>
    </row>
    <row r="116" spans="1:12" ht="12" customHeight="1">
      <c r="A116" s="44">
        <v>2</v>
      </c>
      <c r="B116" s="44">
        <v>3</v>
      </c>
      <c r="C116" s="51">
        <v>1</v>
      </c>
      <c r="D116" s="44">
        <v>1</v>
      </c>
      <c r="E116" s="52"/>
      <c r="F116" s="90" t="s">
        <v>87</v>
      </c>
      <c r="G116" s="67">
        <f>G117</f>
        <v>0</v>
      </c>
      <c r="H116" s="62"/>
      <c r="I116" s="62"/>
      <c r="J116" s="62">
        <f>+H116+I116</f>
        <v>0</v>
      </c>
      <c r="K116" s="62">
        <f>+G116-H116-I116</f>
        <v>0</v>
      </c>
      <c r="L116" s="168"/>
    </row>
    <row r="117" spans="1:12" ht="12" customHeight="1">
      <c r="A117" s="44">
        <v>2</v>
      </c>
      <c r="B117" s="44">
        <v>3</v>
      </c>
      <c r="C117" s="51">
        <v>1</v>
      </c>
      <c r="D117" s="44">
        <v>1</v>
      </c>
      <c r="E117" s="52">
        <v>1</v>
      </c>
      <c r="F117" s="90" t="s">
        <v>87</v>
      </c>
      <c r="G117" s="67"/>
      <c r="H117" s="69">
        <v>0</v>
      </c>
      <c r="I117" s="69"/>
      <c r="J117" s="69">
        <f>+H117+I117</f>
        <v>0</v>
      </c>
      <c r="K117" s="69">
        <v>0</v>
      </c>
      <c r="L117" s="161"/>
    </row>
    <row r="118" spans="1:12" ht="12" customHeight="1">
      <c r="A118" s="44"/>
      <c r="B118" s="44"/>
      <c r="C118" s="51"/>
      <c r="D118" s="44"/>
      <c r="E118" s="52"/>
      <c r="F118" s="89"/>
      <c r="G118" s="67"/>
      <c r="H118" s="69"/>
      <c r="I118" s="69"/>
      <c r="J118" s="69"/>
      <c r="K118" s="69"/>
      <c r="L118" s="161"/>
    </row>
    <row r="119" spans="1:12" s="11" customFormat="1" ht="16.5" thickBot="1">
      <c r="A119" s="44">
        <v>2</v>
      </c>
      <c r="B119" s="44">
        <v>3</v>
      </c>
      <c r="C119" s="51">
        <v>2</v>
      </c>
      <c r="D119" s="44"/>
      <c r="E119" s="52"/>
      <c r="F119" s="89" t="s">
        <v>88</v>
      </c>
      <c r="G119" s="67"/>
      <c r="H119" s="69">
        <f>H120</f>
        <v>0</v>
      </c>
      <c r="I119" s="69">
        <f>I120</f>
        <v>4951</v>
      </c>
      <c r="J119" s="69">
        <f>J120</f>
        <v>4951</v>
      </c>
      <c r="K119" s="69">
        <f>K120</f>
        <v>-4951</v>
      </c>
      <c r="L119" s="161"/>
    </row>
    <row r="120" spans="1:12" ht="15.75">
      <c r="A120" s="44">
        <v>2</v>
      </c>
      <c r="B120" s="44">
        <v>3</v>
      </c>
      <c r="C120" s="51">
        <v>2</v>
      </c>
      <c r="D120" s="44">
        <v>3</v>
      </c>
      <c r="E120" s="52"/>
      <c r="F120" s="90" t="s">
        <v>89</v>
      </c>
      <c r="G120" s="66"/>
      <c r="H120" s="68">
        <v>0</v>
      </c>
      <c r="I120" s="68">
        <v>4951</v>
      </c>
      <c r="J120" s="68">
        <f>+H120+I120</f>
        <v>4951</v>
      </c>
      <c r="K120" s="68">
        <f>+G120-H120-I120</f>
        <v>-4951</v>
      </c>
      <c r="L120" s="161"/>
    </row>
    <row r="121" spans="1:12" ht="15.75">
      <c r="A121" s="44"/>
      <c r="B121" s="44"/>
      <c r="C121" s="51"/>
      <c r="D121" s="44"/>
      <c r="E121" s="52"/>
      <c r="F121" s="89"/>
      <c r="G121" s="67"/>
      <c r="H121" s="62"/>
      <c r="I121" s="62"/>
      <c r="J121" s="62"/>
      <c r="K121" s="62"/>
      <c r="L121" s="168"/>
    </row>
    <row r="122" spans="1:12" ht="16.5" thickBot="1">
      <c r="A122" s="44">
        <v>2</v>
      </c>
      <c r="B122" s="73">
        <v>3</v>
      </c>
      <c r="C122" s="74">
        <v>3</v>
      </c>
      <c r="D122" s="52"/>
      <c r="E122" s="52"/>
      <c r="F122" s="63" t="s">
        <v>90</v>
      </c>
      <c r="G122" s="54">
        <f>G123+G124+G125+G126</f>
        <v>101500</v>
      </c>
      <c r="H122" s="64">
        <f>H123+H124+H125+H126</f>
        <v>13764.7</v>
      </c>
      <c r="I122" s="64">
        <f>I123+I124+I125+I126</f>
        <v>14056</v>
      </c>
      <c r="J122" s="64">
        <f>J123+J124+J125+J126</f>
        <v>27820.7</v>
      </c>
      <c r="K122" s="64">
        <f>K123+K124+K125+K126</f>
        <v>73679.3</v>
      </c>
      <c r="L122" s="160"/>
    </row>
    <row r="123" spans="1:12" ht="15.75">
      <c r="A123" s="44">
        <v>2</v>
      </c>
      <c r="B123" s="44">
        <v>3</v>
      </c>
      <c r="C123" s="51">
        <v>3</v>
      </c>
      <c r="D123" s="44">
        <v>1</v>
      </c>
      <c r="E123" s="44"/>
      <c r="F123" s="85" t="s">
        <v>91</v>
      </c>
      <c r="G123" s="66">
        <v>68000</v>
      </c>
      <c r="H123" s="68">
        <v>13764.7</v>
      </c>
      <c r="I123" s="68">
        <f>9+3191</f>
        <v>3200</v>
      </c>
      <c r="J123" s="68">
        <f>+H123+I123</f>
        <v>16964.7</v>
      </c>
      <c r="K123" s="68">
        <f>+G123-H123-I123</f>
        <v>51035.3</v>
      </c>
      <c r="L123" s="161"/>
    </row>
    <row r="124" spans="1:12" ht="15.75">
      <c r="A124" s="44">
        <v>2</v>
      </c>
      <c r="B124" s="44">
        <v>3</v>
      </c>
      <c r="C124" s="51">
        <v>3</v>
      </c>
      <c r="D124" s="44">
        <v>2</v>
      </c>
      <c r="E124" s="44"/>
      <c r="F124" s="85" t="s">
        <v>92</v>
      </c>
      <c r="G124" s="67">
        <v>23000</v>
      </c>
      <c r="H124" s="69">
        <v>0</v>
      </c>
      <c r="I124" s="69"/>
      <c r="J124" s="69">
        <f>+H124+I124</f>
        <v>0</v>
      </c>
      <c r="K124" s="69">
        <f>+G124-H124-I124</f>
        <v>23000</v>
      </c>
      <c r="L124" s="161"/>
    </row>
    <row r="125" spans="1:12" s="15" customFormat="1" ht="15.75">
      <c r="A125" s="44">
        <v>2</v>
      </c>
      <c r="B125" s="44">
        <v>3</v>
      </c>
      <c r="C125" s="51">
        <v>3</v>
      </c>
      <c r="D125" s="44">
        <v>3</v>
      </c>
      <c r="E125" s="44"/>
      <c r="F125" s="85" t="s">
        <v>93</v>
      </c>
      <c r="G125" s="67">
        <v>0</v>
      </c>
      <c r="H125" s="69">
        <v>0</v>
      </c>
      <c r="I125" s="69">
        <v>10856</v>
      </c>
      <c r="J125" s="69">
        <f>+H125+I125</f>
        <v>10856</v>
      </c>
      <c r="K125" s="69">
        <f>+G125-H125-I125</f>
        <v>-10856</v>
      </c>
      <c r="L125" s="161"/>
    </row>
    <row r="126" spans="1:12" s="15" customFormat="1" ht="15.75">
      <c r="A126" s="44">
        <v>2</v>
      </c>
      <c r="B126" s="44">
        <v>3</v>
      </c>
      <c r="C126" s="51">
        <v>3</v>
      </c>
      <c r="D126" s="44">
        <v>4</v>
      </c>
      <c r="E126" s="44"/>
      <c r="F126" s="85" t="s">
        <v>94</v>
      </c>
      <c r="G126" s="67">
        <v>10500</v>
      </c>
      <c r="H126" s="69"/>
      <c r="I126" s="69"/>
      <c r="J126" s="69"/>
      <c r="K126" s="69">
        <f>+G126-H126-I126</f>
        <v>10500</v>
      </c>
      <c r="L126" s="161"/>
    </row>
    <row r="127" spans="1:12" s="16" customFormat="1" ht="15.75">
      <c r="A127" s="44"/>
      <c r="B127" s="44"/>
      <c r="C127" s="51"/>
      <c r="D127" s="44"/>
      <c r="E127" s="44"/>
      <c r="F127" s="85"/>
      <c r="G127" s="67"/>
      <c r="H127" s="69"/>
      <c r="I127" s="69"/>
      <c r="J127" s="69"/>
      <c r="K127" s="69"/>
      <c r="L127" s="161"/>
    </row>
    <row r="128" spans="1:12" ht="32.25" thickBot="1">
      <c r="A128" s="52">
        <v>2</v>
      </c>
      <c r="B128" s="52">
        <v>3</v>
      </c>
      <c r="C128" s="91">
        <v>7</v>
      </c>
      <c r="D128" s="52"/>
      <c r="E128" s="52"/>
      <c r="F128" s="86" t="s">
        <v>95</v>
      </c>
      <c r="G128" s="54">
        <f t="shared" ref="G128:K129" si="2">G129</f>
        <v>300000</v>
      </c>
      <c r="H128" s="75">
        <f t="shared" si="2"/>
        <v>0</v>
      </c>
      <c r="I128" s="75"/>
      <c r="J128" s="75"/>
      <c r="K128" s="75">
        <f t="shared" si="2"/>
        <v>300000</v>
      </c>
      <c r="L128" s="161"/>
    </row>
    <row r="129" spans="1:13" ht="16.5" thickBot="1">
      <c r="A129" s="52">
        <v>2</v>
      </c>
      <c r="B129" s="52">
        <v>3</v>
      </c>
      <c r="C129" s="91">
        <v>7</v>
      </c>
      <c r="D129" s="52">
        <v>1</v>
      </c>
      <c r="E129" s="52"/>
      <c r="F129" s="86" t="s">
        <v>96</v>
      </c>
      <c r="G129" s="54">
        <f t="shared" si="2"/>
        <v>300000</v>
      </c>
      <c r="H129" s="57">
        <f t="shared" si="2"/>
        <v>0</v>
      </c>
      <c r="I129" s="57"/>
      <c r="J129" s="57"/>
      <c r="K129" s="57">
        <f t="shared" si="2"/>
        <v>300000</v>
      </c>
      <c r="L129" s="161"/>
    </row>
    <row r="130" spans="1:13" ht="15.75">
      <c r="A130" s="77">
        <v>2</v>
      </c>
      <c r="B130" s="77">
        <v>3</v>
      </c>
      <c r="C130" s="92">
        <v>7</v>
      </c>
      <c r="D130" s="77">
        <v>1</v>
      </c>
      <c r="E130" s="77">
        <v>1</v>
      </c>
      <c r="F130" s="65" t="s">
        <v>97</v>
      </c>
      <c r="G130" s="82">
        <v>300000</v>
      </c>
      <c r="H130" s="68"/>
      <c r="I130" s="68"/>
      <c r="J130" s="68"/>
      <c r="K130" s="68">
        <f>+G130-H130-I130</f>
        <v>300000</v>
      </c>
      <c r="L130" s="161"/>
    </row>
    <row r="131" spans="1:13" ht="15.75">
      <c r="A131" s="44"/>
      <c r="B131" s="44"/>
      <c r="C131" s="51"/>
      <c r="D131" s="44"/>
      <c r="E131" s="44"/>
      <c r="F131" s="65"/>
      <c r="G131" s="67"/>
      <c r="H131" s="69"/>
      <c r="I131" s="69"/>
      <c r="J131" s="69"/>
      <c r="K131" s="69"/>
      <c r="L131" s="161"/>
    </row>
    <row r="132" spans="1:13" ht="16.5" thickBot="1">
      <c r="A132" s="44">
        <v>2</v>
      </c>
      <c r="B132" s="44">
        <v>3</v>
      </c>
      <c r="C132" s="51">
        <v>9</v>
      </c>
      <c r="D132" s="44"/>
      <c r="E132" s="52"/>
      <c r="F132" s="63" t="s">
        <v>98</v>
      </c>
      <c r="G132" s="87">
        <f>SUM(G133:G137)</f>
        <v>205000</v>
      </c>
      <c r="H132" s="87">
        <f>SUM(H133:H137)</f>
        <v>12901.65</v>
      </c>
      <c r="I132" s="195">
        <f>SUM(I133:I137)</f>
        <v>20259.25</v>
      </c>
      <c r="J132" s="195">
        <f>SUM(J133:J137)</f>
        <v>33160.9</v>
      </c>
      <c r="K132" s="87">
        <f>SUM(K133:K137)</f>
        <v>171839.09999999998</v>
      </c>
      <c r="L132" s="157"/>
    </row>
    <row r="133" spans="1:13" ht="15.75">
      <c r="A133" s="44">
        <v>2</v>
      </c>
      <c r="B133" s="44">
        <v>3</v>
      </c>
      <c r="C133" s="51">
        <v>9</v>
      </c>
      <c r="D133" s="44">
        <v>1</v>
      </c>
      <c r="E133" s="44"/>
      <c r="F133" s="65" t="s">
        <v>99</v>
      </c>
      <c r="G133" s="66">
        <v>15000</v>
      </c>
      <c r="H133" s="69"/>
      <c r="I133" s="69"/>
      <c r="J133" s="69">
        <f>+H133+I133</f>
        <v>0</v>
      </c>
      <c r="K133" s="69">
        <f>+G133-H133-I133</f>
        <v>15000</v>
      </c>
      <c r="L133" s="161"/>
    </row>
    <row r="134" spans="1:13" ht="31.5">
      <c r="A134" s="44">
        <v>2</v>
      </c>
      <c r="B134" s="44">
        <v>3</v>
      </c>
      <c r="C134" s="51">
        <v>9</v>
      </c>
      <c r="D134" s="44">
        <v>2</v>
      </c>
      <c r="E134" s="44"/>
      <c r="F134" s="65" t="s">
        <v>100</v>
      </c>
      <c r="G134" s="67">
        <v>110000</v>
      </c>
      <c r="H134" s="69"/>
      <c r="I134" s="69">
        <f>9+3191+5422.1</f>
        <v>8622.1</v>
      </c>
      <c r="J134" s="69">
        <f>+H134+I134</f>
        <v>8622.1</v>
      </c>
      <c r="K134" s="69">
        <f>+G134-H134-I134</f>
        <v>101377.9</v>
      </c>
      <c r="L134" s="161"/>
      <c r="M134" s="183"/>
    </row>
    <row r="135" spans="1:13" ht="15.75">
      <c r="A135" s="44">
        <v>2</v>
      </c>
      <c r="B135" s="77">
        <v>3</v>
      </c>
      <c r="C135" s="77">
        <v>9</v>
      </c>
      <c r="D135" s="44">
        <v>5</v>
      </c>
      <c r="E135" s="44"/>
      <c r="F135" s="93" t="s">
        <v>101</v>
      </c>
      <c r="G135" s="67">
        <v>25000</v>
      </c>
      <c r="H135" s="69"/>
      <c r="I135" s="69">
        <f>20+1631.55+293.85</f>
        <v>1945.4</v>
      </c>
      <c r="J135" s="69">
        <f>+H135+I135</f>
        <v>1945.4</v>
      </c>
      <c r="K135" s="69">
        <f>+G135-H135-I135</f>
        <v>23054.6</v>
      </c>
      <c r="L135" s="161"/>
    </row>
    <row r="136" spans="1:13" ht="15.75">
      <c r="A136" s="44">
        <v>2</v>
      </c>
      <c r="B136" s="44">
        <v>3</v>
      </c>
      <c r="C136" s="51">
        <v>9</v>
      </c>
      <c r="D136" s="44">
        <v>8</v>
      </c>
      <c r="E136" s="44"/>
      <c r="F136" s="90" t="s">
        <v>102</v>
      </c>
      <c r="G136" s="67">
        <v>35000</v>
      </c>
      <c r="H136" s="69"/>
      <c r="I136" s="69">
        <f>767+6537.2</f>
        <v>7304.2</v>
      </c>
      <c r="J136" s="69">
        <f>+H136+I136</f>
        <v>7304.2</v>
      </c>
      <c r="K136" s="69">
        <f>+G136-H136-I136</f>
        <v>27695.8</v>
      </c>
      <c r="L136" s="161"/>
    </row>
    <row r="137" spans="1:13" ht="15.75">
      <c r="A137" s="44">
        <v>2</v>
      </c>
      <c r="B137" s="44">
        <v>3</v>
      </c>
      <c r="C137" s="51">
        <v>9</v>
      </c>
      <c r="D137" s="44">
        <v>9</v>
      </c>
      <c r="E137" s="44"/>
      <c r="F137" s="90" t="s">
        <v>103</v>
      </c>
      <c r="G137" s="67">
        <v>20000</v>
      </c>
      <c r="H137" s="69">
        <f>6698+1216.8+4210+776.85</f>
        <v>12901.65</v>
      </c>
      <c r="I137" s="69">
        <f>857.8+1479.75+50</f>
        <v>2387.5500000000002</v>
      </c>
      <c r="J137" s="69">
        <f>+H137+I137</f>
        <v>15289.2</v>
      </c>
      <c r="K137" s="69">
        <f>+G137-H137-I137</f>
        <v>4710.8</v>
      </c>
      <c r="L137" s="161"/>
    </row>
    <row r="138" spans="1:13" ht="15.75">
      <c r="A138" s="44">
        <v>2</v>
      </c>
      <c r="B138" s="44">
        <v>3</v>
      </c>
      <c r="C138" s="51">
        <v>9</v>
      </c>
      <c r="D138" s="44">
        <v>9</v>
      </c>
      <c r="E138" s="44">
        <v>2</v>
      </c>
      <c r="F138" s="90" t="s">
        <v>104</v>
      </c>
      <c r="G138" s="67"/>
      <c r="H138" s="69">
        <v>0</v>
      </c>
      <c r="I138" s="69"/>
      <c r="J138" s="69"/>
      <c r="K138" s="69">
        <v>0</v>
      </c>
      <c r="L138" s="161"/>
    </row>
    <row r="139" spans="1:13" ht="15.75">
      <c r="A139" s="44"/>
      <c r="B139" s="44"/>
      <c r="C139" s="51"/>
      <c r="D139" s="44"/>
      <c r="E139" s="44"/>
      <c r="F139" s="65"/>
      <c r="G139" s="67"/>
      <c r="H139" s="69"/>
      <c r="I139" s="69"/>
      <c r="J139" s="69"/>
      <c r="K139" s="69"/>
      <c r="L139" s="161"/>
    </row>
    <row r="140" spans="1:13" ht="16.5" thickBot="1">
      <c r="A140" s="44">
        <v>2</v>
      </c>
      <c r="B140" s="44">
        <v>6</v>
      </c>
      <c r="C140" s="51"/>
      <c r="D140" s="44"/>
      <c r="E140" s="52"/>
      <c r="F140" s="63" t="s">
        <v>105</v>
      </c>
      <c r="G140" s="55">
        <f>G141+G149+G153</f>
        <v>0</v>
      </c>
      <c r="H140" s="55">
        <f>H141+H149+H153</f>
        <v>0</v>
      </c>
      <c r="I140" s="55">
        <f>I141+I149+I153</f>
        <v>53961.4</v>
      </c>
      <c r="J140" s="55">
        <f>J141+J149+J153</f>
        <v>53961.4</v>
      </c>
      <c r="K140" s="55">
        <f>K141+K149+K153</f>
        <v>-53961.4</v>
      </c>
      <c r="L140" s="160"/>
    </row>
    <row r="141" spans="1:13" ht="16.5" thickBot="1">
      <c r="A141" s="44">
        <v>2</v>
      </c>
      <c r="B141" s="44">
        <v>6</v>
      </c>
      <c r="C141" s="51">
        <v>1</v>
      </c>
      <c r="D141" s="44"/>
      <c r="E141" s="77"/>
      <c r="F141" s="86" t="s">
        <v>106</v>
      </c>
      <c r="G141" s="56">
        <f>G143+G144+G145+G147+G148</f>
        <v>0</v>
      </c>
      <c r="H141" s="123">
        <f>+H142+H143+H144+H145+H146+H147</f>
        <v>0</v>
      </c>
      <c r="I141" s="123">
        <f>+I142+I143+I144+I145+I146+I147</f>
        <v>53961.4</v>
      </c>
      <c r="J141" s="123">
        <f>+J142+J143+J144+J145+J146+J147</f>
        <v>53961.4</v>
      </c>
      <c r="K141" s="123">
        <f>+K142+K143+K144+K145+K146+K147</f>
        <v>-53961.4</v>
      </c>
      <c r="L141" s="166"/>
    </row>
    <row r="142" spans="1:13" ht="15.75">
      <c r="A142" s="44">
        <v>2</v>
      </c>
      <c r="B142" s="44">
        <v>6</v>
      </c>
      <c r="C142" s="51">
        <v>8</v>
      </c>
      <c r="D142" s="44">
        <v>8</v>
      </c>
      <c r="E142" s="77"/>
      <c r="F142" s="94" t="s">
        <v>107</v>
      </c>
      <c r="G142" s="67">
        <f>G144+G145+G146+G148+G149</f>
        <v>0</v>
      </c>
      <c r="H142" s="82">
        <f>H144+H145+H146+H148+H149</f>
        <v>0</v>
      </c>
      <c r="I142" s="82"/>
      <c r="J142" s="82">
        <f>+H142+I142</f>
        <v>0</v>
      </c>
      <c r="K142" s="82">
        <f>+G142+H142+I142</f>
        <v>0</v>
      </c>
      <c r="L142" s="166"/>
    </row>
    <row r="143" spans="1:13" ht="15.75">
      <c r="A143" s="44">
        <v>2</v>
      </c>
      <c r="B143" s="44">
        <v>6</v>
      </c>
      <c r="C143" s="51">
        <v>1</v>
      </c>
      <c r="D143" s="44">
        <v>1</v>
      </c>
      <c r="E143" s="77"/>
      <c r="F143" s="85" t="s">
        <v>108</v>
      </c>
      <c r="G143" s="67"/>
      <c r="H143" s="69"/>
      <c r="I143" s="69"/>
      <c r="J143" s="69">
        <f>+H143+I143</f>
        <v>0</v>
      </c>
      <c r="K143" s="69">
        <f>+G143-H143-I143</f>
        <v>0</v>
      </c>
      <c r="L143" s="161"/>
    </row>
    <row r="144" spans="1:13" ht="15.75">
      <c r="A144" s="44">
        <v>2</v>
      </c>
      <c r="B144" s="44">
        <v>6</v>
      </c>
      <c r="C144" s="51">
        <v>1</v>
      </c>
      <c r="D144" s="44">
        <v>4</v>
      </c>
      <c r="E144" s="77"/>
      <c r="F144" s="85" t="s">
        <v>109</v>
      </c>
      <c r="G144" s="67"/>
      <c r="H144" s="69"/>
      <c r="I144" s="69">
        <v>53961.4</v>
      </c>
      <c r="J144" s="69">
        <f>+H144+I144</f>
        <v>53961.4</v>
      </c>
      <c r="K144" s="69">
        <f>+G144-H144-I144</f>
        <v>-53961.4</v>
      </c>
      <c r="L144" s="161"/>
    </row>
    <row r="145" spans="1:14" ht="24.75" customHeight="1">
      <c r="A145" s="44">
        <v>2</v>
      </c>
      <c r="B145" s="44">
        <v>6</v>
      </c>
      <c r="C145" s="51">
        <v>1</v>
      </c>
      <c r="D145" s="44">
        <v>7</v>
      </c>
      <c r="E145" s="77"/>
      <c r="F145" s="85" t="s">
        <v>110</v>
      </c>
      <c r="G145" s="67"/>
      <c r="H145" s="69">
        <v>0</v>
      </c>
      <c r="I145" s="69"/>
      <c r="J145" s="69">
        <f>+H145+I145</f>
        <v>0</v>
      </c>
      <c r="K145" s="69">
        <f>+G145-H145-I145</f>
        <v>0</v>
      </c>
      <c r="L145" s="161"/>
    </row>
    <row r="146" spans="1:14" ht="15.75">
      <c r="A146" s="44">
        <v>2</v>
      </c>
      <c r="B146" s="44">
        <v>6</v>
      </c>
      <c r="C146" s="51">
        <v>1</v>
      </c>
      <c r="D146" s="44">
        <v>8</v>
      </c>
      <c r="E146" s="77"/>
      <c r="F146" s="85" t="s">
        <v>111</v>
      </c>
      <c r="G146" s="67"/>
      <c r="H146" s="69"/>
      <c r="I146" s="69"/>
      <c r="J146" s="69">
        <f>+H146+I146</f>
        <v>0</v>
      </c>
      <c r="K146" s="69">
        <f>+G146-H146-I146</f>
        <v>0</v>
      </c>
      <c r="L146" s="161"/>
    </row>
    <row r="147" spans="1:14" ht="31.5">
      <c r="A147" s="44">
        <v>2</v>
      </c>
      <c r="B147" s="44">
        <v>6</v>
      </c>
      <c r="C147" s="51">
        <v>1</v>
      </c>
      <c r="D147" s="44">
        <v>9</v>
      </c>
      <c r="E147" s="77"/>
      <c r="F147" s="85" t="s">
        <v>112</v>
      </c>
      <c r="G147" s="67"/>
      <c r="H147" s="69"/>
      <c r="I147" s="69"/>
      <c r="J147" s="69"/>
      <c r="K147" s="69">
        <f>+G147-H147-I147</f>
        <v>0</v>
      </c>
      <c r="L147" s="161"/>
    </row>
    <row r="148" spans="1:14" ht="15.75">
      <c r="A148" s="44"/>
      <c r="B148" s="44"/>
      <c r="C148" s="51"/>
      <c r="D148" s="44"/>
      <c r="E148" s="52"/>
      <c r="F148" s="86"/>
      <c r="G148" s="83"/>
      <c r="H148" s="55"/>
      <c r="I148" s="55"/>
      <c r="J148" s="55"/>
      <c r="K148" s="55"/>
      <c r="L148" s="160"/>
    </row>
    <row r="149" spans="1:14" ht="32.25" thickBot="1">
      <c r="A149" s="44">
        <v>2</v>
      </c>
      <c r="B149" s="44">
        <v>6</v>
      </c>
      <c r="C149" s="51">
        <v>2</v>
      </c>
      <c r="D149" s="44"/>
      <c r="E149" s="52"/>
      <c r="F149" s="86" t="s">
        <v>113</v>
      </c>
      <c r="G149" s="54">
        <f>G150+G151</f>
        <v>0</v>
      </c>
      <c r="H149" s="75"/>
      <c r="I149" s="75">
        <f>I150+I151</f>
        <v>0</v>
      </c>
      <c r="J149" s="75">
        <f>J150+J151</f>
        <v>0</v>
      </c>
      <c r="K149" s="75">
        <f>K150+K151</f>
        <v>0</v>
      </c>
      <c r="L149" s="161"/>
      <c r="N149" s="180"/>
    </row>
    <row r="150" spans="1:14" ht="15.75">
      <c r="A150" s="44">
        <v>2</v>
      </c>
      <c r="B150" s="44">
        <v>6</v>
      </c>
      <c r="C150" s="51">
        <v>2</v>
      </c>
      <c r="D150" s="44">
        <v>1</v>
      </c>
      <c r="E150" s="77"/>
      <c r="F150" s="65" t="s">
        <v>114</v>
      </c>
      <c r="G150" s="67"/>
      <c r="H150" s="69">
        <v>0</v>
      </c>
      <c r="I150" s="69"/>
      <c r="J150" s="69">
        <f>+H150+I150</f>
        <v>0</v>
      </c>
      <c r="K150" s="69">
        <f>+G150-H150-I150</f>
        <v>0</v>
      </c>
      <c r="L150" s="161"/>
    </row>
    <row r="151" spans="1:14" ht="31.5" customHeight="1">
      <c r="A151" s="44">
        <v>2</v>
      </c>
      <c r="B151" s="44">
        <v>6</v>
      </c>
      <c r="C151" s="51">
        <v>2</v>
      </c>
      <c r="D151" s="44">
        <v>3</v>
      </c>
      <c r="E151" s="77"/>
      <c r="F151" s="65" t="s">
        <v>115</v>
      </c>
      <c r="G151" s="67"/>
      <c r="H151" s="69">
        <f>G151*12</f>
        <v>0</v>
      </c>
      <c r="I151" s="69"/>
      <c r="J151" s="69">
        <f>+H151+I151</f>
        <v>0</v>
      </c>
      <c r="K151" s="69">
        <f>+G151-H151-I151</f>
        <v>0</v>
      </c>
      <c r="L151" s="161"/>
    </row>
    <row r="152" spans="1:14" ht="15.75">
      <c r="A152" s="44"/>
      <c r="B152" s="44"/>
      <c r="C152" s="51"/>
      <c r="D152" s="44"/>
      <c r="E152" s="52"/>
      <c r="F152" s="63"/>
      <c r="G152" s="83"/>
      <c r="H152" s="55"/>
      <c r="I152" s="55"/>
      <c r="J152" s="55"/>
      <c r="K152" s="55"/>
      <c r="L152" s="160"/>
    </row>
    <row r="153" spans="1:14" ht="32.25" thickBot="1">
      <c r="A153" s="44">
        <v>2</v>
      </c>
      <c r="B153" s="44">
        <v>6</v>
      </c>
      <c r="C153" s="51">
        <v>4</v>
      </c>
      <c r="D153" s="44"/>
      <c r="E153" s="52"/>
      <c r="F153" s="63" t="s">
        <v>116</v>
      </c>
      <c r="G153" s="83">
        <f>G155+G156+G154</f>
        <v>0</v>
      </c>
      <c r="H153" s="69">
        <f>H154+H155</f>
        <v>0</v>
      </c>
      <c r="I153" s="69">
        <f>I154+I155</f>
        <v>0</v>
      </c>
      <c r="J153" s="69">
        <f>J154+J155</f>
        <v>0</v>
      </c>
      <c r="K153" s="69">
        <f>K154+K155</f>
        <v>0</v>
      </c>
      <c r="L153" s="161"/>
    </row>
    <row r="154" spans="1:14" ht="31.5">
      <c r="A154" s="44">
        <v>2</v>
      </c>
      <c r="B154" s="44">
        <v>6</v>
      </c>
      <c r="C154" s="51">
        <v>4</v>
      </c>
      <c r="D154" s="44"/>
      <c r="E154" s="52"/>
      <c r="F154" s="85" t="s">
        <v>116</v>
      </c>
      <c r="G154" s="59"/>
      <c r="H154" s="68">
        <v>0</v>
      </c>
      <c r="I154" s="177"/>
      <c r="J154" s="68">
        <f>+H154+I154</f>
        <v>0</v>
      </c>
      <c r="K154" s="68">
        <f>+G154-H154-I154</f>
        <v>0</v>
      </c>
      <c r="L154" s="161"/>
    </row>
    <row r="155" spans="1:14" ht="15.75">
      <c r="A155" s="44">
        <v>2</v>
      </c>
      <c r="B155" s="44">
        <v>6</v>
      </c>
      <c r="C155" s="51">
        <v>4</v>
      </c>
      <c r="D155" s="44">
        <v>1</v>
      </c>
      <c r="E155" s="44"/>
      <c r="F155" s="85" t="s">
        <v>117</v>
      </c>
      <c r="G155" s="67"/>
      <c r="H155" s="69">
        <v>0</v>
      </c>
      <c r="I155" s="176"/>
      <c r="J155" s="69">
        <f>+H155+I155</f>
        <v>0</v>
      </c>
      <c r="K155" s="69">
        <f>+G155-H155-I155</f>
        <v>0</v>
      </c>
      <c r="L155" s="161"/>
    </row>
    <row r="156" spans="1:14" ht="15.75">
      <c r="A156" s="44">
        <v>2</v>
      </c>
      <c r="B156" s="44">
        <v>6</v>
      </c>
      <c r="C156" s="51">
        <v>4</v>
      </c>
      <c r="D156" s="44">
        <v>7</v>
      </c>
      <c r="E156" s="44"/>
      <c r="F156" s="85" t="s">
        <v>118</v>
      </c>
      <c r="G156" s="67">
        <v>0</v>
      </c>
      <c r="H156" s="69">
        <v>0</v>
      </c>
      <c r="I156" s="176"/>
      <c r="J156" s="69"/>
      <c r="K156" s="69">
        <f>+G156-H156+I156</f>
        <v>0</v>
      </c>
      <c r="L156" s="161"/>
    </row>
    <row r="157" spans="1:14" ht="16.5" thickBot="1">
      <c r="A157" s="44"/>
      <c r="B157" s="44"/>
      <c r="C157" s="51"/>
      <c r="D157" s="43"/>
      <c r="E157" s="44"/>
      <c r="F157" s="85"/>
      <c r="G157" s="70"/>
      <c r="H157" s="75"/>
      <c r="I157" s="178"/>
      <c r="J157" s="75"/>
      <c r="K157" s="75"/>
      <c r="L157" s="161"/>
    </row>
    <row r="158" spans="1:14" ht="16.5" thickBot="1">
      <c r="A158" s="95"/>
      <c r="B158" s="95"/>
      <c r="C158" s="96"/>
      <c r="D158" s="97"/>
      <c r="E158" s="97"/>
      <c r="F158" s="98" t="s">
        <v>119</v>
      </c>
      <c r="G158" s="54">
        <f>G114+G53+G13</f>
        <v>54039167</v>
      </c>
      <c r="H158" s="54">
        <f>H114+H53+H13</f>
        <v>5359997.83</v>
      </c>
      <c r="I158" s="54">
        <f>I114+I53+I13</f>
        <v>4552451.5999999996</v>
      </c>
      <c r="J158" s="54">
        <f>J114+J53+J13</f>
        <v>9912449.4299999997</v>
      </c>
      <c r="K158" s="54">
        <f>K114+K53+K13</f>
        <v>44126717.57</v>
      </c>
      <c r="L158" s="157"/>
    </row>
    <row r="159" spans="1:14" ht="15.75">
      <c r="A159" s="99"/>
      <c r="B159" s="99"/>
      <c r="C159" s="28"/>
      <c r="D159" s="28"/>
      <c r="E159" s="28"/>
      <c r="F159" s="156"/>
      <c r="G159" s="157"/>
      <c r="H159" s="157"/>
      <c r="I159" s="157"/>
      <c r="J159" s="157"/>
      <c r="K159" s="157"/>
      <c r="L159" s="157"/>
    </row>
    <row r="160" spans="1:14" ht="15.75">
      <c r="A160" s="99"/>
      <c r="B160" s="99"/>
      <c r="C160" s="28"/>
      <c r="D160" s="28"/>
      <c r="E160" s="28"/>
      <c r="F160" s="156"/>
      <c r="G160" s="157"/>
      <c r="H160" s="157"/>
      <c r="I160" s="157"/>
      <c r="J160" s="157"/>
      <c r="K160" s="157"/>
      <c r="L160" s="157"/>
    </row>
    <row r="161" spans="1:12" ht="18">
      <c r="A161" s="99"/>
      <c r="B161" s="99"/>
      <c r="C161" s="28"/>
      <c r="D161" s="28"/>
      <c r="E161" s="100"/>
      <c r="F161" s="101"/>
      <c r="G161" s="102"/>
      <c r="H161" s="103"/>
      <c r="I161" s="103"/>
      <c r="J161" s="103"/>
      <c r="K161" s="20"/>
      <c r="L161" s="19"/>
    </row>
    <row r="162" spans="1:12" ht="18.75" thickBot="1">
      <c r="A162" s="26"/>
      <c r="B162" s="26"/>
      <c r="C162" s="26"/>
      <c r="D162" s="26"/>
      <c r="E162" s="26"/>
      <c r="F162" s="101"/>
      <c r="G162" s="104"/>
      <c r="H162" s="104">
        <v>5359997.83</v>
      </c>
      <c r="I162" s="104"/>
      <c r="J162" s="104"/>
      <c r="K162" s="20"/>
      <c r="L162" s="20"/>
    </row>
    <row r="163" spans="1:12" ht="18.75">
      <c r="A163" s="26"/>
      <c r="B163" s="26"/>
      <c r="C163" s="26"/>
      <c r="D163" s="26"/>
      <c r="E163" s="26"/>
      <c r="F163" s="105" t="s">
        <v>120</v>
      </c>
      <c r="G163" s="104"/>
      <c r="H163" s="104">
        <f>+H162-H158</f>
        <v>0</v>
      </c>
      <c r="I163" s="104"/>
      <c r="J163" s="104"/>
      <c r="K163" s="154"/>
      <c r="L163" s="154"/>
    </row>
    <row r="164" spans="1:12" ht="18.75">
      <c r="A164" s="26"/>
      <c r="B164" s="26"/>
      <c r="C164" s="26"/>
      <c r="D164" s="26"/>
      <c r="E164" s="26"/>
      <c r="F164" s="101" t="s">
        <v>121</v>
      </c>
      <c r="G164" s="106"/>
      <c r="H164" s="104"/>
      <c r="I164" s="104"/>
      <c r="J164" s="104"/>
      <c r="K164" s="154"/>
      <c r="L164" s="18"/>
    </row>
    <row r="165" spans="1:12" ht="18.75">
      <c r="A165" s="26"/>
      <c r="B165" s="26"/>
      <c r="C165" s="26"/>
      <c r="D165" s="26"/>
      <c r="E165" s="26"/>
      <c r="F165" s="101"/>
      <c r="G165" s="106"/>
      <c r="H165" s="104"/>
      <c r="I165" s="104"/>
      <c r="J165" s="104"/>
      <c r="K165" s="154"/>
      <c r="L165" s="154"/>
    </row>
    <row r="166" spans="1:12" ht="18.75">
      <c r="A166" s="26"/>
      <c r="B166" s="26"/>
      <c r="C166" s="26"/>
      <c r="D166" s="26"/>
      <c r="E166" s="26"/>
      <c r="F166" s="101"/>
      <c r="G166" s="104"/>
      <c r="H166" s="104"/>
      <c r="I166" s="104"/>
      <c r="J166" s="104"/>
      <c r="K166" s="18"/>
      <c r="L166" s="18"/>
    </row>
    <row r="167" spans="1:12" ht="18.75">
      <c r="A167" s="26"/>
      <c r="B167" s="26"/>
      <c r="C167" s="26"/>
      <c r="D167" s="26"/>
      <c r="E167" s="26"/>
      <c r="F167" s="101"/>
      <c r="G167" s="106"/>
      <c r="H167" s="13"/>
      <c r="I167" s="13"/>
      <c r="J167" s="13"/>
      <c r="K167" s="22"/>
      <c r="L167" s="22"/>
    </row>
    <row r="168" spans="1:12" ht="18.75">
      <c r="A168" s="26"/>
      <c r="B168" s="26"/>
      <c r="C168" s="26"/>
      <c r="D168" s="26"/>
      <c r="E168" s="26"/>
      <c r="F168" s="101"/>
      <c r="G168" s="106"/>
      <c r="H168" s="13"/>
      <c r="I168" s="13"/>
      <c r="J168" s="13"/>
      <c r="K168" s="22"/>
      <c r="L168" s="22"/>
    </row>
    <row r="169" spans="1:12" ht="18.75">
      <c r="A169" s="26"/>
      <c r="B169" s="26"/>
      <c r="C169" s="26"/>
      <c r="D169" s="26"/>
      <c r="E169" s="26"/>
      <c r="F169" s="101"/>
      <c r="G169" s="106"/>
      <c r="H169" s="13"/>
      <c r="I169" s="13"/>
      <c r="J169" s="13"/>
      <c r="K169" s="22"/>
      <c r="L169" s="22"/>
    </row>
    <row r="170" spans="1:12" ht="19.5" thickBot="1">
      <c r="A170" s="26"/>
      <c r="B170" s="26"/>
      <c r="C170" s="26"/>
      <c r="D170" s="26"/>
      <c r="E170" s="26"/>
      <c r="F170" s="109"/>
      <c r="G170" s="106"/>
      <c r="H170" s="13"/>
      <c r="I170" s="13"/>
      <c r="J170" s="13"/>
      <c r="K170" s="22"/>
      <c r="L170" s="22"/>
    </row>
    <row r="171" spans="1:12" ht="18">
      <c r="A171" s="26"/>
      <c r="B171" s="26"/>
      <c r="C171" s="26"/>
      <c r="D171" s="26"/>
      <c r="E171" s="26"/>
      <c r="F171" s="101" t="s">
        <v>122</v>
      </c>
      <c r="G171" s="107"/>
      <c r="H171" s="13"/>
      <c r="I171" s="13"/>
      <c r="J171" s="13"/>
      <c r="K171" s="19"/>
      <c r="L171" s="19"/>
    </row>
    <row r="172" spans="1:12" ht="18">
      <c r="A172" s="26"/>
      <c r="B172" s="26"/>
      <c r="C172" s="26"/>
      <c r="D172" s="26"/>
      <c r="E172" s="26"/>
      <c r="F172" s="101" t="s">
        <v>123</v>
      </c>
      <c r="G172" s="107"/>
      <c r="H172" s="13"/>
      <c r="I172" s="13"/>
      <c r="J172" s="13"/>
      <c r="K172" s="19"/>
      <c r="L172" s="19"/>
    </row>
    <row r="173" spans="1:12" ht="18">
      <c r="A173" s="26"/>
      <c r="B173" s="26"/>
      <c r="C173" s="26"/>
      <c r="D173" s="26"/>
      <c r="E173" s="26"/>
      <c r="F173" s="101"/>
      <c r="G173" s="108"/>
      <c r="H173" s="13"/>
      <c r="I173" s="13"/>
      <c r="J173" s="13"/>
      <c r="K173" s="24"/>
      <c r="L173" s="24"/>
    </row>
    <row r="174" spans="1:12" ht="15.75">
      <c r="A174" s="26"/>
      <c r="B174" s="26"/>
      <c r="C174" s="26"/>
      <c r="D174" s="26"/>
      <c r="E174" s="26"/>
      <c r="F174" s="99"/>
      <c r="G174" s="108"/>
      <c r="H174" s="13"/>
      <c r="I174" s="13"/>
      <c r="J174" s="13"/>
      <c r="K174" s="24"/>
      <c r="L174" s="24"/>
    </row>
    <row r="175" spans="1:12" ht="15.75">
      <c r="A175" s="26"/>
      <c r="B175" s="26"/>
      <c r="C175" s="26"/>
      <c r="D175" s="26"/>
      <c r="E175" s="26"/>
      <c r="F175" s="99"/>
      <c r="G175" s="108"/>
      <c r="H175" s="13"/>
      <c r="I175" s="13"/>
      <c r="J175" s="13"/>
      <c r="K175" s="24"/>
      <c r="L175" s="24"/>
    </row>
    <row r="176" spans="1:12" ht="18">
      <c r="A176" s="26"/>
      <c r="B176" s="26"/>
      <c r="C176" s="26"/>
      <c r="D176" s="26"/>
      <c r="E176" s="26"/>
      <c r="F176" s="26"/>
      <c r="G176" s="110"/>
      <c r="H176" s="13"/>
      <c r="I176" s="13"/>
      <c r="J176" s="13"/>
      <c r="K176" s="23"/>
      <c r="L176" s="23"/>
    </row>
    <row r="177" spans="1:12" ht="18">
      <c r="A177" s="26"/>
      <c r="B177" s="26"/>
      <c r="C177" s="26"/>
      <c r="D177" s="26"/>
      <c r="E177" s="26"/>
      <c r="F177" s="26"/>
      <c r="G177" s="101"/>
      <c r="H177" s="13"/>
      <c r="I177" s="13"/>
      <c r="J177" s="13"/>
      <c r="K177" s="21"/>
      <c r="L177" s="21"/>
    </row>
    <row r="178" spans="1:12" ht="18.75" thickBot="1">
      <c r="A178" s="26"/>
      <c r="B178" s="26"/>
      <c r="C178" s="26"/>
      <c r="D178" s="26"/>
      <c r="E178" s="26"/>
      <c r="F178" s="109"/>
      <c r="G178" s="101"/>
      <c r="H178" s="111"/>
      <c r="I178" s="111"/>
      <c r="J178" s="111"/>
      <c r="K178" s="21"/>
      <c r="L178" s="21"/>
    </row>
    <row r="179" spans="1:12" ht="18">
      <c r="A179" s="26"/>
      <c r="B179" s="26"/>
      <c r="C179" s="26"/>
      <c r="D179" s="112"/>
      <c r="E179" s="26"/>
      <c r="F179" s="101" t="s">
        <v>124</v>
      </c>
      <c r="G179" s="112"/>
      <c r="H179" s="111"/>
      <c r="I179" s="111"/>
      <c r="J179" s="111"/>
      <c r="K179" s="21"/>
      <c r="L179" s="21"/>
    </row>
    <row r="180" spans="1:12" ht="18">
      <c r="A180" s="26"/>
      <c r="B180" s="26"/>
      <c r="C180" s="26"/>
      <c r="D180" s="26"/>
      <c r="E180" s="26"/>
      <c r="F180" s="101" t="s">
        <v>125</v>
      </c>
      <c r="G180" s="26"/>
      <c r="H180" s="113"/>
      <c r="I180" s="113"/>
      <c r="J180" s="113"/>
      <c r="K180" s="25"/>
      <c r="L180" s="25"/>
    </row>
    <row r="181" spans="1:12" ht="18">
      <c r="A181" s="26"/>
      <c r="B181" s="26"/>
      <c r="C181" s="26"/>
      <c r="D181" s="26"/>
      <c r="E181" s="26"/>
      <c r="F181" s="101"/>
      <c r="G181" s="26"/>
      <c r="H181" s="113"/>
      <c r="I181" s="113"/>
      <c r="J181" s="113"/>
      <c r="K181" s="25"/>
      <c r="L181" s="25"/>
    </row>
    <row r="182" spans="1:12">
      <c r="A182" s="26"/>
      <c r="B182" s="26"/>
      <c r="C182" s="26"/>
      <c r="D182" s="26"/>
      <c r="E182" s="26"/>
      <c r="F182" s="26"/>
      <c r="G182" s="26"/>
      <c r="H182" s="113"/>
      <c r="I182" s="113"/>
      <c r="J182" s="113"/>
      <c r="K182" s="25"/>
      <c r="L182" s="25"/>
    </row>
    <row r="183" spans="1:12">
      <c r="A183" s="26"/>
      <c r="B183" s="26"/>
      <c r="C183" s="26"/>
      <c r="D183" s="26"/>
      <c r="E183" s="26"/>
      <c r="F183" s="26"/>
      <c r="G183" s="26"/>
      <c r="H183" s="113"/>
      <c r="I183" s="113"/>
      <c r="J183" s="113"/>
      <c r="K183" s="13"/>
      <c r="L183" s="13"/>
    </row>
    <row r="184" spans="1:12">
      <c r="A184" s="26"/>
      <c r="B184" s="26"/>
      <c r="C184" s="26"/>
      <c r="D184" s="26"/>
      <c r="E184" s="26"/>
      <c r="F184" s="26"/>
      <c r="G184" s="26"/>
      <c r="H184" s="113"/>
      <c r="I184" s="113"/>
      <c r="J184" s="113"/>
      <c r="K184" s="13"/>
      <c r="L184" s="13"/>
    </row>
    <row r="185" spans="1:12">
      <c r="A185" s="26"/>
      <c r="B185" s="26"/>
      <c r="C185" s="26"/>
      <c r="D185" s="26"/>
      <c r="E185" s="26"/>
      <c r="G185" s="26"/>
      <c r="H185" s="113"/>
      <c r="I185" s="113"/>
      <c r="J185" s="113"/>
      <c r="K185" s="13"/>
      <c r="L185" s="13"/>
    </row>
    <row r="186" spans="1:12">
      <c r="A186" s="26"/>
      <c r="B186" s="26"/>
      <c r="C186" s="26"/>
      <c r="D186" s="26"/>
      <c r="E186" s="26"/>
      <c r="G186" s="26"/>
      <c r="H186" s="27"/>
      <c r="I186" s="27"/>
      <c r="J186" s="27"/>
      <c r="K186" s="13"/>
      <c r="L186" s="13"/>
    </row>
    <row r="187" spans="1:12" ht="18">
      <c r="A187" s="26"/>
      <c r="B187" s="26"/>
      <c r="C187" s="26"/>
      <c r="D187" s="26"/>
      <c r="E187" s="26"/>
      <c r="F187" s="101"/>
      <c r="G187" s="26"/>
      <c r="H187" s="27"/>
      <c r="I187" s="27"/>
      <c r="J187" s="27"/>
      <c r="K187" s="13"/>
      <c r="L187" s="13"/>
    </row>
    <row r="188" spans="1:12">
      <c r="A188" s="26"/>
      <c r="B188" s="26"/>
      <c r="C188" s="26"/>
      <c r="D188" s="26"/>
      <c r="E188" s="26"/>
      <c r="F188" s="26"/>
      <c r="G188" s="26"/>
      <c r="H188" s="27"/>
      <c r="I188" s="27"/>
      <c r="J188" s="27"/>
      <c r="K188" s="13"/>
      <c r="L188" s="13"/>
    </row>
    <row r="189" spans="1:12">
      <c r="A189" s="26"/>
      <c r="B189" s="26"/>
      <c r="C189" s="26"/>
      <c r="D189" s="26"/>
      <c r="E189" s="26"/>
      <c r="F189" s="26"/>
      <c r="G189" s="26"/>
      <c r="H189" s="27"/>
      <c r="I189" s="27"/>
      <c r="J189" s="27"/>
      <c r="K189" s="13"/>
      <c r="L189" s="13"/>
    </row>
    <row r="190" spans="1:12">
      <c r="A190" s="26"/>
      <c r="B190" s="26"/>
      <c r="C190" s="26"/>
      <c r="D190" s="26"/>
      <c r="E190" s="26"/>
      <c r="F190" s="26"/>
      <c r="G190" s="26"/>
      <c r="H190" s="27"/>
      <c r="I190" s="27"/>
      <c r="J190" s="27"/>
      <c r="K190" s="13"/>
      <c r="L190" s="13"/>
    </row>
    <row r="191" spans="1:12">
      <c r="K191" s="13"/>
      <c r="L191" s="13"/>
    </row>
    <row r="192" spans="1:12">
      <c r="K192" s="13"/>
      <c r="L192" s="13"/>
    </row>
    <row r="193" spans="11:12">
      <c r="K193" s="13"/>
      <c r="L193" s="13"/>
    </row>
    <row r="194" spans="11:12">
      <c r="K194" s="13"/>
      <c r="L194" s="13"/>
    </row>
    <row r="195" spans="11:12">
      <c r="K195" s="13"/>
      <c r="L195" s="13"/>
    </row>
    <row r="196" spans="11:12">
      <c r="K196" s="13"/>
      <c r="L196" s="13"/>
    </row>
    <row r="197" spans="11:12">
      <c r="K197" s="13"/>
      <c r="L197" s="13"/>
    </row>
    <row r="198" spans="11:12">
      <c r="K198" s="13"/>
      <c r="L198" s="13"/>
    </row>
    <row r="199" spans="11:12">
      <c r="K199" s="13"/>
      <c r="L199" s="13"/>
    </row>
    <row r="200" spans="11:12">
      <c r="K200" s="13"/>
      <c r="L200" s="13"/>
    </row>
    <row r="201" spans="11:12">
      <c r="K201" s="13"/>
      <c r="L201" s="13"/>
    </row>
    <row r="202" spans="11:12">
      <c r="K202" s="13"/>
      <c r="L202" s="13"/>
    </row>
    <row r="203" spans="11:12">
      <c r="K203" s="13"/>
      <c r="L203" s="13"/>
    </row>
    <row r="204" spans="11:12">
      <c r="K204" s="13"/>
      <c r="L204" s="13"/>
    </row>
    <row r="205" spans="11:12">
      <c r="K205" s="13"/>
      <c r="L205" s="13"/>
    </row>
    <row r="206" spans="11:12">
      <c r="K206" s="13"/>
      <c r="L206" s="13"/>
    </row>
    <row r="207" spans="11:12">
      <c r="K207" s="13"/>
      <c r="L207" s="13"/>
    </row>
    <row r="208" spans="11:12">
      <c r="K208" s="13"/>
      <c r="L208" s="13"/>
    </row>
    <row r="209" spans="11:12">
      <c r="K209" s="13"/>
      <c r="L209" s="13"/>
    </row>
    <row r="210" spans="11:12">
      <c r="K210" s="13"/>
      <c r="L210" s="13"/>
    </row>
    <row r="211" spans="11:12">
      <c r="K211" s="13"/>
      <c r="L211" s="13"/>
    </row>
    <row r="212" spans="11:12">
      <c r="K212" s="13"/>
      <c r="L212" s="13"/>
    </row>
    <row r="213" spans="11:12">
      <c r="K213" s="13"/>
      <c r="L213" s="13"/>
    </row>
    <row r="214" spans="11:12">
      <c r="K214" s="13"/>
      <c r="L214" s="13"/>
    </row>
    <row r="215" spans="11:12">
      <c r="K215" s="13"/>
      <c r="L215" s="13"/>
    </row>
    <row r="216" spans="11:12">
      <c r="K216" s="13"/>
      <c r="L216" s="13"/>
    </row>
    <row r="217" spans="11:12">
      <c r="K217" s="13"/>
      <c r="L217" s="13"/>
    </row>
    <row r="218" spans="11:12">
      <c r="K218" s="13"/>
      <c r="L218" s="13"/>
    </row>
    <row r="219" spans="11:12">
      <c r="K219" s="13"/>
      <c r="L219" s="13"/>
    </row>
    <row r="220" spans="11:12">
      <c r="K220" s="13"/>
      <c r="L220" s="13"/>
    </row>
    <row r="221" spans="11:12">
      <c r="K221" s="13"/>
      <c r="L221" s="13"/>
    </row>
    <row r="222" spans="11:12">
      <c r="K222" s="13"/>
      <c r="L222" s="13"/>
    </row>
    <row r="223" spans="11:12">
      <c r="K223" s="13"/>
      <c r="L223" s="13"/>
    </row>
    <row r="224" spans="11:12">
      <c r="K224" s="13"/>
      <c r="L224" s="13"/>
    </row>
    <row r="225" spans="11:12">
      <c r="K225" s="13"/>
      <c r="L225" s="13"/>
    </row>
    <row r="226" spans="11:12">
      <c r="K226" s="13"/>
      <c r="L226" s="13"/>
    </row>
    <row r="227" spans="11:12">
      <c r="K227" s="13"/>
      <c r="L227" s="13"/>
    </row>
    <row r="228" spans="11:12">
      <c r="K228" s="13"/>
      <c r="L228" s="13"/>
    </row>
    <row r="229" spans="11:12">
      <c r="K229" s="13"/>
      <c r="L229" s="13"/>
    </row>
    <row r="230" spans="11:12">
      <c r="K230" s="13"/>
      <c r="L230" s="13"/>
    </row>
    <row r="231" spans="11:12">
      <c r="K231" s="13"/>
      <c r="L231" s="13"/>
    </row>
    <row r="232" spans="11:12">
      <c r="K232" s="13"/>
      <c r="L232" s="13"/>
    </row>
    <row r="233" spans="11:12">
      <c r="K233" s="13"/>
      <c r="L233" s="13"/>
    </row>
    <row r="234" spans="11:12">
      <c r="K234" s="13"/>
      <c r="L234" s="13"/>
    </row>
    <row r="235" spans="11:12">
      <c r="K235" s="13"/>
      <c r="L235" s="13"/>
    </row>
    <row r="236" spans="11:12">
      <c r="K236" s="13"/>
      <c r="L236" s="13"/>
    </row>
    <row r="237" spans="11:12">
      <c r="K237" s="13"/>
      <c r="L237" s="13"/>
    </row>
    <row r="238" spans="11:12">
      <c r="K238" s="13"/>
      <c r="L238" s="13"/>
    </row>
    <row r="239" spans="11:12">
      <c r="K239" s="13"/>
      <c r="L239" s="13"/>
    </row>
    <row r="240" spans="11:12">
      <c r="K240" s="13"/>
      <c r="L240" s="13"/>
    </row>
    <row r="241" spans="11:12">
      <c r="K241" s="13"/>
      <c r="L241" s="13"/>
    </row>
    <row r="242" spans="11:12">
      <c r="K242" s="13"/>
      <c r="L242" s="13"/>
    </row>
    <row r="243" spans="11:12">
      <c r="K243" s="13"/>
      <c r="L243" s="13"/>
    </row>
    <row r="244" spans="11:12">
      <c r="K244" s="13"/>
      <c r="L244" s="13"/>
    </row>
    <row r="245" spans="11:12">
      <c r="K245" s="13"/>
      <c r="L245" s="13"/>
    </row>
    <row r="246" spans="11:12">
      <c r="K246" s="13"/>
      <c r="L246" s="13"/>
    </row>
    <row r="247" spans="11:12">
      <c r="K247" s="13"/>
      <c r="L247" s="13"/>
    </row>
    <row r="248" spans="11:12">
      <c r="K248" s="13"/>
      <c r="L248" s="13"/>
    </row>
    <row r="249" spans="11:12">
      <c r="K249" s="13"/>
      <c r="L249" s="13"/>
    </row>
    <row r="250" spans="11:12">
      <c r="K250" s="13"/>
      <c r="L250" s="13"/>
    </row>
    <row r="251" spans="11:12">
      <c r="K251" s="13"/>
      <c r="L251" s="13"/>
    </row>
    <row r="252" spans="11:12">
      <c r="K252" s="13"/>
      <c r="L252" s="13"/>
    </row>
    <row r="253" spans="11:12">
      <c r="K253" s="13"/>
      <c r="L253" s="13"/>
    </row>
    <row r="254" spans="11:12">
      <c r="K254" s="13"/>
      <c r="L254" s="13"/>
    </row>
    <row r="255" spans="11:12">
      <c r="K255" s="13"/>
      <c r="L255" s="13"/>
    </row>
    <row r="256" spans="11:12">
      <c r="K256" s="13"/>
      <c r="L256" s="13"/>
    </row>
    <row r="257" spans="11:12">
      <c r="K257" s="13"/>
      <c r="L257" s="13"/>
    </row>
    <row r="258" spans="11:12">
      <c r="K258" s="13"/>
      <c r="L258" s="13"/>
    </row>
  </sheetData>
  <mergeCells count="4">
    <mergeCell ref="A5:H5"/>
    <mergeCell ref="A6:H6"/>
    <mergeCell ref="A7:H7"/>
    <mergeCell ref="A9:E9"/>
  </mergeCells>
  <pageMargins left="0.70866141732283472" right="0.70866141732283472" top="0" bottom="0.74803149606299213" header="0.31496062992125984" footer="0.31496062992125984"/>
  <pageSetup paperSize="5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58"/>
  <sheetViews>
    <sheetView workbookViewId="0">
      <selection activeCell="J165" sqref="J165"/>
    </sheetView>
  </sheetViews>
  <sheetFormatPr baseColWidth="10" defaultColWidth="11.42578125" defaultRowHeight="15"/>
  <cols>
    <col min="1" max="1" width="6.7109375" customWidth="1"/>
    <col min="2" max="2" width="6.85546875" customWidth="1"/>
    <col min="3" max="3" width="7.42578125" bestFit="1" customWidth="1"/>
    <col min="4" max="4" width="5.7109375" customWidth="1"/>
    <col min="5" max="5" width="4.5703125" customWidth="1"/>
    <col min="6" max="6" width="39.85546875" customWidth="1"/>
    <col min="7" max="7" width="15.28515625" customWidth="1"/>
    <col min="8" max="8" width="16" style="14" customWidth="1"/>
    <col min="9" max="9" width="14.28515625" style="14" customWidth="1"/>
    <col min="10" max="10" width="13.5703125" style="14" customWidth="1"/>
    <col min="11" max="11" width="14.85546875" style="14" customWidth="1"/>
    <col min="12" max="12" width="14.5703125" hidden="1" customWidth="1"/>
    <col min="13" max="13" width="16.140625" customWidth="1"/>
    <col min="217" max="217" width="4.85546875" bestFit="1" customWidth="1"/>
    <col min="218" max="218" width="5.85546875" bestFit="1" customWidth="1"/>
    <col min="219" max="219" width="7.42578125" bestFit="1" customWidth="1"/>
    <col min="220" max="220" width="8.140625" bestFit="1" customWidth="1"/>
    <col min="221" max="221" width="4.5703125" bestFit="1" customWidth="1"/>
    <col min="222" max="222" width="57.5703125" customWidth="1"/>
    <col min="223" max="223" width="14.28515625" customWidth="1"/>
    <col min="224" max="224" width="0.85546875" customWidth="1"/>
    <col min="225" max="225" width="16.5703125" bestFit="1" customWidth="1"/>
    <col min="226" max="226" width="13.42578125" bestFit="1" customWidth="1"/>
    <col min="473" max="473" width="4.85546875" bestFit="1" customWidth="1"/>
    <col min="474" max="474" width="5.85546875" bestFit="1" customWidth="1"/>
    <col min="475" max="475" width="7.42578125" bestFit="1" customWidth="1"/>
    <col min="476" max="476" width="8.140625" bestFit="1" customWidth="1"/>
    <col min="477" max="477" width="4.5703125" bestFit="1" customWidth="1"/>
    <col min="478" max="478" width="57.5703125" customWidth="1"/>
    <col min="479" max="479" width="14.28515625" customWidth="1"/>
    <col min="480" max="480" width="0.85546875" customWidth="1"/>
    <col min="481" max="481" width="16.5703125" bestFit="1" customWidth="1"/>
    <col min="482" max="482" width="13.42578125" bestFit="1" customWidth="1"/>
    <col min="729" max="729" width="4.85546875" bestFit="1" customWidth="1"/>
    <col min="730" max="730" width="5.85546875" bestFit="1" customWidth="1"/>
    <col min="731" max="731" width="7.42578125" bestFit="1" customWidth="1"/>
    <col min="732" max="732" width="8.140625" bestFit="1" customWidth="1"/>
    <col min="733" max="733" width="4.5703125" bestFit="1" customWidth="1"/>
    <col min="734" max="734" width="57.5703125" customWidth="1"/>
    <col min="735" max="735" width="14.28515625" customWidth="1"/>
    <col min="736" max="736" width="0.85546875" customWidth="1"/>
    <col min="737" max="737" width="16.5703125" bestFit="1" customWidth="1"/>
    <col min="738" max="738" width="13.42578125" bestFit="1" customWidth="1"/>
    <col min="985" max="985" width="4.85546875" bestFit="1" customWidth="1"/>
    <col min="986" max="986" width="5.85546875" bestFit="1" customWidth="1"/>
    <col min="987" max="987" width="7.42578125" bestFit="1" customWidth="1"/>
    <col min="988" max="988" width="8.140625" bestFit="1" customWidth="1"/>
    <col min="989" max="989" width="4.5703125" bestFit="1" customWidth="1"/>
    <col min="990" max="990" width="57.5703125" customWidth="1"/>
    <col min="991" max="991" width="14.28515625" customWidth="1"/>
    <col min="992" max="992" width="0.85546875" customWidth="1"/>
    <col min="993" max="993" width="16.5703125" bestFit="1" customWidth="1"/>
    <col min="994" max="994" width="13.42578125" bestFit="1" customWidth="1"/>
    <col min="1241" max="1241" width="4.85546875" bestFit="1" customWidth="1"/>
    <col min="1242" max="1242" width="5.85546875" bestFit="1" customWidth="1"/>
    <col min="1243" max="1243" width="7.42578125" bestFit="1" customWidth="1"/>
    <col min="1244" max="1244" width="8.140625" bestFit="1" customWidth="1"/>
    <col min="1245" max="1245" width="4.5703125" bestFit="1" customWidth="1"/>
    <col min="1246" max="1246" width="57.5703125" customWidth="1"/>
    <col min="1247" max="1247" width="14.28515625" customWidth="1"/>
    <col min="1248" max="1248" width="0.85546875" customWidth="1"/>
    <col min="1249" max="1249" width="16.5703125" bestFit="1" customWidth="1"/>
    <col min="1250" max="1250" width="13.42578125" bestFit="1" customWidth="1"/>
    <col min="1497" max="1497" width="4.85546875" bestFit="1" customWidth="1"/>
    <col min="1498" max="1498" width="5.85546875" bestFit="1" customWidth="1"/>
    <col min="1499" max="1499" width="7.42578125" bestFit="1" customWidth="1"/>
    <col min="1500" max="1500" width="8.140625" bestFit="1" customWidth="1"/>
    <col min="1501" max="1501" width="4.5703125" bestFit="1" customWidth="1"/>
    <col min="1502" max="1502" width="57.5703125" customWidth="1"/>
    <col min="1503" max="1503" width="14.28515625" customWidth="1"/>
    <col min="1504" max="1504" width="0.85546875" customWidth="1"/>
    <col min="1505" max="1505" width="16.5703125" bestFit="1" customWidth="1"/>
    <col min="1506" max="1506" width="13.42578125" bestFit="1" customWidth="1"/>
    <col min="1753" max="1753" width="4.85546875" bestFit="1" customWidth="1"/>
    <col min="1754" max="1754" width="5.85546875" bestFit="1" customWidth="1"/>
    <col min="1755" max="1755" width="7.42578125" bestFit="1" customWidth="1"/>
    <col min="1756" max="1756" width="8.140625" bestFit="1" customWidth="1"/>
    <col min="1757" max="1757" width="4.5703125" bestFit="1" customWidth="1"/>
    <col min="1758" max="1758" width="57.5703125" customWidth="1"/>
    <col min="1759" max="1759" width="14.28515625" customWidth="1"/>
    <col min="1760" max="1760" width="0.85546875" customWidth="1"/>
    <col min="1761" max="1761" width="16.5703125" bestFit="1" customWidth="1"/>
    <col min="1762" max="1762" width="13.42578125" bestFit="1" customWidth="1"/>
    <col min="2009" max="2009" width="4.85546875" bestFit="1" customWidth="1"/>
    <col min="2010" max="2010" width="5.85546875" bestFit="1" customWidth="1"/>
    <col min="2011" max="2011" width="7.42578125" bestFit="1" customWidth="1"/>
    <col min="2012" max="2012" width="8.140625" bestFit="1" customWidth="1"/>
    <col min="2013" max="2013" width="4.5703125" bestFit="1" customWidth="1"/>
    <col min="2014" max="2014" width="57.5703125" customWidth="1"/>
    <col min="2015" max="2015" width="14.28515625" customWidth="1"/>
    <col min="2016" max="2016" width="0.85546875" customWidth="1"/>
    <col min="2017" max="2017" width="16.5703125" bestFit="1" customWidth="1"/>
    <col min="2018" max="2018" width="13.42578125" bestFit="1" customWidth="1"/>
    <col min="2265" max="2265" width="4.85546875" bestFit="1" customWidth="1"/>
    <col min="2266" max="2266" width="5.85546875" bestFit="1" customWidth="1"/>
    <col min="2267" max="2267" width="7.42578125" bestFit="1" customWidth="1"/>
    <col min="2268" max="2268" width="8.140625" bestFit="1" customWidth="1"/>
    <col min="2269" max="2269" width="4.5703125" bestFit="1" customWidth="1"/>
    <col min="2270" max="2270" width="57.5703125" customWidth="1"/>
    <col min="2271" max="2271" width="14.28515625" customWidth="1"/>
    <col min="2272" max="2272" width="0.85546875" customWidth="1"/>
    <col min="2273" max="2273" width="16.5703125" bestFit="1" customWidth="1"/>
    <col min="2274" max="2274" width="13.42578125" bestFit="1" customWidth="1"/>
    <col min="2521" max="2521" width="4.85546875" bestFit="1" customWidth="1"/>
    <col min="2522" max="2522" width="5.85546875" bestFit="1" customWidth="1"/>
    <col min="2523" max="2523" width="7.42578125" bestFit="1" customWidth="1"/>
    <col min="2524" max="2524" width="8.140625" bestFit="1" customWidth="1"/>
    <col min="2525" max="2525" width="4.5703125" bestFit="1" customWidth="1"/>
    <col min="2526" max="2526" width="57.5703125" customWidth="1"/>
    <col min="2527" max="2527" width="14.28515625" customWidth="1"/>
    <col min="2528" max="2528" width="0.85546875" customWidth="1"/>
    <col min="2529" max="2529" width="16.5703125" bestFit="1" customWidth="1"/>
    <col min="2530" max="2530" width="13.42578125" bestFit="1" customWidth="1"/>
    <col min="2777" max="2777" width="4.85546875" bestFit="1" customWidth="1"/>
    <col min="2778" max="2778" width="5.85546875" bestFit="1" customWidth="1"/>
    <col min="2779" max="2779" width="7.42578125" bestFit="1" customWidth="1"/>
    <col min="2780" max="2780" width="8.140625" bestFit="1" customWidth="1"/>
    <col min="2781" max="2781" width="4.5703125" bestFit="1" customWidth="1"/>
    <col min="2782" max="2782" width="57.5703125" customWidth="1"/>
    <col min="2783" max="2783" width="14.28515625" customWidth="1"/>
    <col min="2784" max="2784" width="0.85546875" customWidth="1"/>
    <col min="2785" max="2785" width="16.5703125" bestFit="1" customWidth="1"/>
    <col min="2786" max="2786" width="13.42578125" bestFit="1" customWidth="1"/>
    <col min="3033" max="3033" width="4.85546875" bestFit="1" customWidth="1"/>
    <col min="3034" max="3034" width="5.85546875" bestFit="1" customWidth="1"/>
    <col min="3035" max="3035" width="7.42578125" bestFit="1" customWidth="1"/>
    <col min="3036" max="3036" width="8.140625" bestFit="1" customWidth="1"/>
    <col min="3037" max="3037" width="4.5703125" bestFit="1" customWidth="1"/>
    <col min="3038" max="3038" width="57.5703125" customWidth="1"/>
    <col min="3039" max="3039" width="14.28515625" customWidth="1"/>
    <col min="3040" max="3040" width="0.85546875" customWidth="1"/>
    <col min="3041" max="3041" width="16.5703125" bestFit="1" customWidth="1"/>
    <col min="3042" max="3042" width="13.42578125" bestFit="1" customWidth="1"/>
    <col min="3289" max="3289" width="4.85546875" bestFit="1" customWidth="1"/>
    <col min="3290" max="3290" width="5.85546875" bestFit="1" customWidth="1"/>
    <col min="3291" max="3291" width="7.42578125" bestFit="1" customWidth="1"/>
    <col min="3292" max="3292" width="8.140625" bestFit="1" customWidth="1"/>
    <col min="3293" max="3293" width="4.5703125" bestFit="1" customWidth="1"/>
    <col min="3294" max="3294" width="57.5703125" customWidth="1"/>
    <col min="3295" max="3295" width="14.28515625" customWidth="1"/>
    <col min="3296" max="3296" width="0.85546875" customWidth="1"/>
    <col min="3297" max="3297" width="16.5703125" bestFit="1" customWidth="1"/>
    <col min="3298" max="3298" width="13.42578125" bestFit="1" customWidth="1"/>
    <col min="3545" max="3545" width="4.85546875" bestFit="1" customWidth="1"/>
    <col min="3546" max="3546" width="5.85546875" bestFit="1" customWidth="1"/>
    <col min="3547" max="3547" width="7.42578125" bestFit="1" customWidth="1"/>
    <col min="3548" max="3548" width="8.140625" bestFit="1" customWidth="1"/>
    <col min="3549" max="3549" width="4.5703125" bestFit="1" customWidth="1"/>
    <col min="3550" max="3550" width="57.5703125" customWidth="1"/>
    <col min="3551" max="3551" width="14.28515625" customWidth="1"/>
    <col min="3552" max="3552" width="0.85546875" customWidth="1"/>
    <col min="3553" max="3553" width="16.5703125" bestFit="1" customWidth="1"/>
    <col min="3554" max="3554" width="13.42578125" bestFit="1" customWidth="1"/>
    <col min="3801" max="3801" width="4.85546875" bestFit="1" customWidth="1"/>
    <col min="3802" max="3802" width="5.85546875" bestFit="1" customWidth="1"/>
    <col min="3803" max="3803" width="7.42578125" bestFit="1" customWidth="1"/>
    <col min="3804" max="3804" width="8.140625" bestFit="1" customWidth="1"/>
    <col min="3805" max="3805" width="4.5703125" bestFit="1" customWidth="1"/>
    <col min="3806" max="3806" width="57.5703125" customWidth="1"/>
    <col min="3807" max="3807" width="14.28515625" customWidth="1"/>
    <col min="3808" max="3808" width="0.85546875" customWidth="1"/>
    <col min="3809" max="3809" width="16.5703125" bestFit="1" customWidth="1"/>
    <col min="3810" max="3810" width="13.42578125" bestFit="1" customWidth="1"/>
    <col min="4057" max="4057" width="4.85546875" bestFit="1" customWidth="1"/>
    <col min="4058" max="4058" width="5.85546875" bestFit="1" customWidth="1"/>
    <col min="4059" max="4059" width="7.42578125" bestFit="1" customWidth="1"/>
    <col min="4060" max="4060" width="8.140625" bestFit="1" customWidth="1"/>
    <col min="4061" max="4061" width="4.5703125" bestFit="1" customWidth="1"/>
    <col min="4062" max="4062" width="57.5703125" customWidth="1"/>
    <col min="4063" max="4063" width="14.28515625" customWidth="1"/>
    <col min="4064" max="4064" width="0.85546875" customWidth="1"/>
    <col min="4065" max="4065" width="16.5703125" bestFit="1" customWidth="1"/>
    <col min="4066" max="4066" width="13.42578125" bestFit="1" customWidth="1"/>
    <col min="4313" max="4313" width="4.85546875" bestFit="1" customWidth="1"/>
    <col min="4314" max="4314" width="5.85546875" bestFit="1" customWidth="1"/>
    <col min="4315" max="4315" width="7.42578125" bestFit="1" customWidth="1"/>
    <col min="4316" max="4316" width="8.140625" bestFit="1" customWidth="1"/>
    <col min="4317" max="4317" width="4.5703125" bestFit="1" customWidth="1"/>
    <col min="4318" max="4318" width="57.5703125" customWidth="1"/>
    <col min="4319" max="4319" width="14.28515625" customWidth="1"/>
    <col min="4320" max="4320" width="0.85546875" customWidth="1"/>
    <col min="4321" max="4321" width="16.5703125" bestFit="1" customWidth="1"/>
    <col min="4322" max="4322" width="13.42578125" bestFit="1" customWidth="1"/>
    <col min="4569" max="4569" width="4.85546875" bestFit="1" customWidth="1"/>
    <col min="4570" max="4570" width="5.85546875" bestFit="1" customWidth="1"/>
    <col min="4571" max="4571" width="7.42578125" bestFit="1" customWidth="1"/>
    <col min="4572" max="4572" width="8.140625" bestFit="1" customWidth="1"/>
    <col min="4573" max="4573" width="4.5703125" bestFit="1" customWidth="1"/>
    <col min="4574" max="4574" width="57.5703125" customWidth="1"/>
    <col min="4575" max="4575" width="14.28515625" customWidth="1"/>
    <col min="4576" max="4576" width="0.85546875" customWidth="1"/>
    <col min="4577" max="4577" width="16.5703125" bestFit="1" customWidth="1"/>
    <col min="4578" max="4578" width="13.42578125" bestFit="1" customWidth="1"/>
    <col min="4825" max="4825" width="4.85546875" bestFit="1" customWidth="1"/>
    <col min="4826" max="4826" width="5.85546875" bestFit="1" customWidth="1"/>
    <col min="4827" max="4827" width="7.42578125" bestFit="1" customWidth="1"/>
    <col min="4828" max="4828" width="8.140625" bestFit="1" customWidth="1"/>
    <col min="4829" max="4829" width="4.5703125" bestFit="1" customWidth="1"/>
    <col min="4830" max="4830" width="57.5703125" customWidth="1"/>
    <col min="4831" max="4831" width="14.28515625" customWidth="1"/>
    <col min="4832" max="4832" width="0.85546875" customWidth="1"/>
    <col min="4833" max="4833" width="16.5703125" bestFit="1" customWidth="1"/>
    <col min="4834" max="4834" width="13.42578125" bestFit="1" customWidth="1"/>
    <col min="5081" max="5081" width="4.85546875" bestFit="1" customWidth="1"/>
    <col min="5082" max="5082" width="5.85546875" bestFit="1" customWidth="1"/>
    <col min="5083" max="5083" width="7.42578125" bestFit="1" customWidth="1"/>
    <col min="5084" max="5084" width="8.140625" bestFit="1" customWidth="1"/>
    <col min="5085" max="5085" width="4.5703125" bestFit="1" customWidth="1"/>
    <col min="5086" max="5086" width="57.5703125" customWidth="1"/>
    <col min="5087" max="5087" width="14.28515625" customWidth="1"/>
    <col min="5088" max="5088" width="0.85546875" customWidth="1"/>
    <col min="5089" max="5089" width="16.5703125" bestFit="1" customWidth="1"/>
    <col min="5090" max="5090" width="13.42578125" bestFit="1" customWidth="1"/>
    <col min="5337" max="5337" width="4.85546875" bestFit="1" customWidth="1"/>
    <col min="5338" max="5338" width="5.85546875" bestFit="1" customWidth="1"/>
    <col min="5339" max="5339" width="7.42578125" bestFit="1" customWidth="1"/>
    <col min="5340" max="5340" width="8.140625" bestFit="1" customWidth="1"/>
    <col min="5341" max="5341" width="4.5703125" bestFit="1" customWidth="1"/>
    <col min="5342" max="5342" width="57.5703125" customWidth="1"/>
    <col min="5343" max="5343" width="14.28515625" customWidth="1"/>
    <col min="5344" max="5344" width="0.85546875" customWidth="1"/>
    <col min="5345" max="5345" width="16.5703125" bestFit="1" customWidth="1"/>
    <col min="5346" max="5346" width="13.42578125" bestFit="1" customWidth="1"/>
    <col min="5593" max="5593" width="4.85546875" bestFit="1" customWidth="1"/>
    <col min="5594" max="5594" width="5.85546875" bestFit="1" customWidth="1"/>
    <col min="5595" max="5595" width="7.42578125" bestFit="1" customWidth="1"/>
    <col min="5596" max="5596" width="8.140625" bestFit="1" customWidth="1"/>
    <col min="5597" max="5597" width="4.5703125" bestFit="1" customWidth="1"/>
    <col min="5598" max="5598" width="57.5703125" customWidth="1"/>
    <col min="5599" max="5599" width="14.28515625" customWidth="1"/>
    <col min="5600" max="5600" width="0.85546875" customWidth="1"/>
    <col min="5601" max="5601" width="16.5703125" bestFit="1" customWidth="1"/>
    <col min="5602" max="5602" width="13.42578125" bestFit="1" customWidth="1"/>
    <col min="5849" max="5849" width="4.85546875" bestFit="1" customWidth="1"/>
    <col min="5850" max="5850" width="5.85546875" bestFit="1" customWidth="1"/>
    <col min="5851" max="5851" width="7.42578125" bestFit="1" customWidth="1"/>
    <col min="5852" max="5852" width="8.140625" bestFit="1" customWidth="1"/>
    <col min="5853" max="5853" width="4.5703125" bestFit="1" customWidth="1"/>
    <col min="5854" max="5854" width="57.5703125" customWidth="1"/>
    <col min="5855" max="5855" width="14.28515625" customWidth="1"/>
    <col min="5856" max="5856" width="0.85546875" customWidth="1"/>
    <col min="5857" max="5857" width="16.5703125" bestFit="1" customWidth="1"/>
    <col min="5858" max="5858" width="13.42578125" bestFit="1" customWidth="1"/>
    <col min="6105" max="6105" width="4.85546875" bestFit="1" customWidth="1"/>
    <col min="6106" max="6106" width="5.85546875" bestFit="1" customWidth="1"/>
    <col min="6107" max="6107" width="7.42578125" bestFit="1" customWidth="1"/>
    <col min="6108" max="6108" width="8.140625" bestFit="1" customWidth="1"/>
    <col min="6109" max="6109" width="4.5703125" bestFit="1" customWidth="1"/>
    <col min="6110" max="6110" width="57.5703125" customWidth="1"/>
    <col min="6111" max="6111" width="14.28515625" customWidth="1"/>
    <col min="6112" max="6112" width="0.85546875" customWidth="1"/>
    <col min="6113" max="6113" width="16.5703125" bestFit="1" customWidth="1"/>
    <col min="6114" max="6114" width="13.42578125" bestFit="1" customWidth="1"/>
    <col min="6361" max="6361" width="4.85546875" bestFit="1" customWidth="1"/>
    <col min="6362" max="6362" width="5.85546875" bestFit="1" customWidth="1"/>
    <col min="6363" max="6363" width="7.42578125" bestFit="1" customWidth="1"/>
    <col min="6364" max="6364" width="8.140625" bestFit="1" customWidth="1"/>
    <col min="6365" max="6365" width="4.5703125" bestFit="1" customWidth="1"/>
    <col min="6366" max="6366" width="57.5703125" customWidth="1"/>
    <col min="6367" max="6367" width="14.28515625" customWidth="1"/>
    <col min="6368" max="6368" width="0.85546875" customWidth="1"/>
    <col min="6369" max="6369" width="16.5703125" bestFit="1" customWidth="1"/>
    <col min="6370" max="6370" width="13.42578125" bestFit="1" customWidth="1"/>
    <col min="6617" max="6617" width="4.85546875" bestFit="1" customWidth="1"/>
    <col min="6618" max="6618" width="5.85546875" bestFit="1" customWidth="1"/>
    <col min="6619" max="6619" width="7.42578125" bestFit="1" customWidth="1"/>
    <col min="6620" max="6620" width="8.140625" bestFit="1" customWidth="1"/>
    <col min="6621" max="6621" width="4.5703125" bestFit="1" customWidth="1"/>
    <col min="6622" max="6622" width="57.5703125" customWidth="1"/>
    <col min="6623" max="6623" width="14.28515625" customWidth="1"/>
    <col min="6624" max="6624" width="0.85546875" customWidth="1"/>
    <col min="6625" max="6625" width="16.5703125" bestFit="1" customWidth="1"/>
    <col min="6626" max="6626" width="13.42578125" bestFit="1" customWidth="1"/>
    <col min="6873" max="6873" width="4.85546875" bestFit="1" customWidth="1"/>
    <col min="6874" max="6874" width="5.85546875" bestFit="1" customWidth="1"/>
    <col min="6875" max="6875" width="7.42578125" bestFit="1" customWidth="1"/>
    <col min="6876" max="6876" width="8.140625" bestFit="1" customWidth="1"/>
    <col min="6877" max="6877" width="4.5703125" bestFit="1" customWidth="1"/>
    <col min="6878" max="6878" width="57.5703125" customWidth="1"/>
    <col min="6879" max="6879" width="14.28515625" customWidth="1"/>
    <col min="6880" max="6880" width="0.85546875" customWidth="1"/>
    <col min="6881" max="6881" width="16.5703125" bestFit="1" customWidth="1"/>
    <col min="6882" max="6882" width="13.42578125" bestFit="1" customWidth="1"/>
    <col min="7129" max="7129" width="4.85546875" bestFit="1" customWidth="1"/>
    <col min="7130" max="7130" width="5.85546875" bestFit="1" customWidth="1"/>
    <col min="7131" max="7131" width="7.42578125" bestFit="1" customWidth="1"/>
    <col min="7132" max="7132" width="8.140625" bestFit="1" customWidth="1"/>
    <col min="7133" max="7133" width="4.5703125" bestFit="1" customWidth="1"/>
    <col min="7134" max="7134" width="57.5703125" customWidth="1"/>
    <col min="7135" max="7135" width="14.28515625" customWidth="1"/>
    <col min="7136" max="7136" width="0.85546875" customWidth="1"/>
    <col min="7137" max="7137" width="16.5703125" bestFit="1" customWidth="1"/>
    <col min="7138" max="7138" width="13.42578125" bestFit="1" customWidth="1"/>
    <col min="7385" max="7385" width="4.85546875" bestFit="1" customWidth="1"/>
    <col min="7386" max="7386" width="5.85546875" bestFit="1" customWidth="1"/>
    <col min="7387" max="7387" width="7.42578125" bestFit="1" customWidth="1"/>
    <col min="7388" max="7388" width="8.140625" bestFit="1" customWidth="1"/>
    <col min="7389" max="7389" width="4.5703125" bestFit="1" customWidth="1"/>
    <col min="7390" max="7390" width="57.5703125" customWidth="1"/>
    <col min="7391" max="7391" width="14.28515625" customWidth="1"/>
    <col min="7392" max="7392" width="0.85546875" customWidth="1"/>
    <col min="7393" max="7393" width="16.5703125" bestFit="1" customWidth="1"/>
    <col min="7394" max="7394" width="13.42578125" bestFit="1" customWidth="1"/>
    <col min="7641" max="7641" width="4.85546875" bestFit="1" customWidth="1"/>
    <col min="7642" max="7642" width="5.85546875" bestFit="1" customWidth="1"/>
    <col min="7643" max="7643" width="7.42578125" bestFit="1" customWidth="1"/>
    <col min="7644" max="7644" width="8.140625" bestFit="1" customWidth="1"/>
    <col min="7645" max="7645" width="4.5703125" bestFit="1" customWidth="1"/>
    <col min="7646" max="7646" width="57.5703125" customWidth="1"/>
    <col min="7647" max="7647" width="14.28515625" customWidth="1"/>
    <col min="7648" max="7648" width="0.85546875" customWidth="1"/>
    <col min="7649" max="7649" width="16.5703125" bestFit="1" customWidth="1"/>
    <col min="7650" max="7650" width="13.42578125" bestFit="1" customWidth="1"/>
    <col min="7897" max="7897" width="4.85546875" bestFit="1" customWidth="1"/>
    <col min="7898" max="7898" width="5.85546875" bestFit="1" customWidth="1"/>
    <col min="7899" max="7899" width="7.42578125" bestFit="1" customWidth="1"/>
    <col min="7900" max="7900" width="8.140625" bestFit="1" customWidth="1"/>
    <col min="7901" max="7901" width="4.5703125" bestFit="1" customWidth="1"/>
    <col min="7902" max="7902" width="57.5703125" customWidth="1"/>
    <col min="7903" max="7903" width="14.28515625" customWidth="1"/>
    <col min="7904" max="7904" width="0.85546875" customWidth="1"/>
    <col min="7905" max="7905" width="16.5703125" bestFit="1" customWidth="1"/>
    <col min="7906" max="7906" width="13.42578125" bestFit="1" customWidth="1"/>
    <col min="8153" max="8153" width="4.85546875" bestFit="1" customWidth="1"/>
    <col min="8154" max="8154" width="5.85546875" bestFit="1" customWidth="1"/>
    <col min="8155" max="8155" width="7.42578125" bestFit="1" customWidth="1"/>
    <col min="8156" max="8156" width="8.140625" bestFit="1" customWidth="1"/>
    <col min="8157" max="8157" width="4.5703125" bestFit="1" customWidth="1"/>
    <col min="8158" max="8158" width="57.5703125" customWidth="1"/>
    <col min="8159" max="8159" width="14.28515625" customWidth="1"/>
    <col min="8160" max="8160" width="0.85546875" customWidth="1"/>
    <col min="8161" max="8161" width="16.5703125" bestFit="1" customWidth="1"/>
    <col min="8162" max="8162" width="13.42578125" bestFit="1" customWidth="1"/>
    <col min="8409" max="8409" width="4.85546875" bestFit="1" customWidth="1"/>
    <col min="8410" max="8410" width="5.85546875" bestFit="1" customWidth="1"/>
    <col min="8411" max="8411" width="7.42578125" bestFit="1" customWidth="1"/>
    <col min="8412" max="8412" width="8.140625" bestFit="1" customWidth="1"/>
    <col min="8413" max="8413" width="4.5703125" bestFit="1" customWidth="1"/>
    <col min="8414" max="8414" width="57.5703125" customWidth="1"/>
    <col min="8415" max="8415" width="14.28515625" customWidth="1"/>
    <col min="8416" max="8416" width="0.85546875" customWidth="1"/>
    <col min="8417" max="8417" width="16.5703125" bestFit="1" customWidth="1"/>
    <col min="8418" max="8418" width="13.42578125" bestFit="1" customWidth="1"/>
    <col min="8665" max="8665" width="4.85546875" bestFit="1" customWidth="1"/>
    <col min="8666" max="8666" width="5.85546875" bestFit="1" customWidth="1"/>
    <col min="8667" max="8667" width="7.42578125" bestFit="1" customWidth="1"/>
    <col min="8668" max="8668" width="8.140625" bestFit="1" customWidth="1"/>
    <col min="8669" max="8669" width="4.5703125" bestFit="1" customWidth="1"/>
    <col min="8670" max="8670" width="57.5703125" customWidth="1"/>
    <col min="8671" max="8671" width="14.28515625" customWidth="1"/>
    <col min="8672" max="8672" width="0.85546875" customWidth="1"/>
    <col min="8673" max="8673" width="16.5703125" bestFit="1" customWidth="1"/>
    <col min="8674" max="8674" width="13.42578125" bestFit="1" customWidth="1"/>
    <col min="8921" max="8921" width="4.85546875" bestFit="1" customWidth="1"/>
    <col min="8922" max="8922" width="5.85546875" bestFit="1" customWidth="1"/>
    <col min="8923" max="8923" width="7.42578125" bestFit="1" customWidth="1"/>
    <col min="8924" max="8924" width="8.140625" bestFit="1" customWidth="1"/>
    <col min="8925" max="8925" width="4.5703125" bestFit="1" customWidth="1"/>
    <col min="8926" max="8926" width="57.5703125" customWidth="1"/>
    <col min="8927" max="8927" width="14.28515625" customWidth="1"/>
    <col min="8928" max="8928" width="0.85546875" customWidth="1"/>
    <col min="8929" max="8929" width="16.5703125" bestFit="1" customWidth="1"/>
    <col min="8930" max="8930" width="13.42578125" bestFit="1" customWidth="1"/>
    <col min="9177" max="9177" width="4.85546875" bestFit="1" customWidth="1"/>
    <col min="9178" max="9178" width="5.85546875" bestFit="1" customWidth="1"/>
    <col min="9179" max="9179" width="7.42578125" bestFit="1" customWidth="1"/>
    <col min="9180" max="9180" width="8.140625" bestFit="1" customWidth="1"/>
    <col min="9181" max="9181" width="4.5703125" bestFit="1" customWidth="1"/>
    <col min="9182" max="9182" width="57.5703125" customWidth="1"/>
    <col min="9183" max="9183" width="14.28515625" customWidth="1"/>
    <col min="9184" max="9184" width="0.85546875" customWidth="1"/>
    <col min="9185" max="9185" width="16.5703125" bestFit="1" customWidth="1"/>
    <col min="9186" max="9186" width="13.42578125" bestFit="1" customWidth="1"/>
    <col min="9433" max="9433" width="4.85546875" bestFit="1" customWidth="1"/>
    <col min="9434" max="9434" width="5.85546875" bestFit="1" customWidth="1"/>
    <col min="9435" max="9435" width="7.42578125" bestFit="1" customWidth="1"/>
    <col min="9436" max="9436" width="8.140625" bestFit="1" customWidth="1"/>
    <col min="9437" max="9437" width="4.5703125" bestFit="1" customWidth="1"/>
    <col min="9438" max="9438" width="57.5703125" customWidth="1"/>
    <col min="9439" max="9439" width="14.28515625" customWidth="1"/>
    <col min="9440" max="9440" width="0.85546875" customWidth="1"/>
    <col min="9441" max="9441" width="16.5703125" bestFit="1" customWidth="1"/>
    <col min="9442" max="9442" width="13.42578125" bestFit="1" customWidth="1"/>
    <col min="9689" max="9689" width="4.85546875" bestFit="1" customWidth="1"/>
    <col min="9690" max="9690" width="5.85546875" bestFit="1" customWidth="1"/>
    <col min="9691" max="9691" width="7.42578125" bestFit="1" customWidth="1"/>
    <col min="9692" max="9692" width="8.140625" bestFit="1" customWidth="1"/>
    <col min="9693" max="9693" width="4.5703125" bestFit="1" customWidth="1"/>
    <col min="9694" max="9694" width="57.5703125" customWidth="1"/>
    <col min="9695" max="9695" width="14.28515625" customWidth="1"/>
    <col min="9696" max="9696" width="0.85546875" customWidth="1"/>
    <col min="9697" max="9697" width="16.5703125" bestFit="1" customWidth="1"/>
    <col min="9698" max="9698" width="13.42578125" bestFit="1" customWidth="1"/>
    <col min="9945" max="9945" width="4.85546875" bestFit="1" customWidth="1"/>
    <col min="9946" max="9946" width="5.85546875" bestFit="1" customWidth="1"/>
    <col min="9947" max="9947" width="7.42578125" bestFit="1" customWidth="1"/>
    <col min="9948" max="9948" width="8.140625" bestFit="1" customWidth="1"/>
    <col min="9949" max="9949" width="4.5703125" bestFit="1" customWidth="1"/>
    <col min="9950" max="9950" width="57.5703125" customWidth="1"/>
    <col min="9951" max="9951" width="14.28515625" customWidth="1"/>
    <col min="9952" max="9952" width="0.85546875" customWidth="1"/>
    <col min="9953" max="9953" width="16.5703125" bestFit="1" customWidth="1"/>
    <col min="9954" max="9954" width="13.42578125" bestFit="1" customWidth="1"/>
    <col min="10201" max="10201" width="4.85546875" bestFit="1" customWidth="1"/>
    <col min="10202" max="10202" width="5.85546875" bestFit="1" customWidth="1"/>
    <col min="10203" max="10203" width="7.42578125" bestFit="1" customWidth="1"/>
    <col min="10204" max="10204" width="8.140625" bestFit="1" customWidth="1"/>
    <col min="10205" max="10205" width="4.5703125" bestFit="1" customWidth="1"/>
    <col min="10206" max="10206" width="57.5703125" customWidth="1"/>
    <col min="10207" max="10207" width="14.28515625" customWidth="1"/>
    <col min="10208" max="10208" width="0.85546875" customWidth="1"/>
    <col min="10209" max="10209" width="16.5703125" bestFit="1" customWidth="1"/>
    <col min="10210" max="10210" width="13.42578125" bestFit="1" customWidth="1"/>
    <col min="10457" max="10457" width="4.85546875" bestFit="1" customWidth="1"/>
    <col min="10458" max="10458" width="5.85546875" bestFit="1" customWidth="1"/>
    <col min="10459" max="10459" width="7.42578125" bestFit="1" customWidth="1"/>
    <col min="10460" max="10460" width="8.140625" bestFit="1" customWidth="1"/>
    <col min="10461" max="10461" width="4.5703125" bestFit="1" customWidth="1"/>
    <col min="10462" max="10462" width="57.5703125" customWidth="1"/>
    <col min="10463" max="10463" width="14.28515625" customWidth="1"/>
    <col min="10464" max="10464" width="0.85546875" customWidth="1"/>
    <col min="10465" max="10465" width="16.5703125" bestFit="1" customWidth="1"/>
    <col min="10466" max="10466" width="13.42578125" bestFit="1" customWidth="1"/>
    <col min="10713" max="10713" width="4.85546875" bestFit="1" customWidth="1"/>
    <col min="10714" max="10714" width="5.85546875" bestFit="1" customWidth="1"/>
    <col min="10715" max="10715" width="7.42578125" bestFit="1" customWidth="1"/>
    <col min="10716" max="10716" width="8.140625" bestFit="1" customWidth="1"/>
    <col min="10717" max="10717" width="4.5703125" bestFit="1" customWidth="1"/>
    <col min="10718" max="10718" width="57.5703125" customWidth="1"/>
    <col min="10719" max="10719" width="14.28515625" customWidth="1"/>
    <col min="10720" max="10720" width="0.85546875" customWidth="1"/>
    <col min="10721" max="10721" width="16.5703125" bestFit="1" customWidth="1"/>
    <col min="10722" max="10722" width="13.42578125" bestFit="1" customWidth="1"/>
    <col min="10969" max="10969" width="4.85546875" bestFit="1" customWidth="1"/>
    <col min="10970" max="10970" width="5.85546875" bestFit="1" customWidth="1"/>
    <col min="10971" max="10971" width="7.42578125" bestFit="1" customWidth="1"/>
    <col min="10972" max="10972" width="8.140625" bestFit="1" customWidth="1"/>
    <col min="10973" max="10973" width="4.5703125" bestFit="1" customWidth="1"/>
    <col min="10974" max="10974" width="57.5703125" customWidth="1"/>
    <col min="10975" max="10975" width="14.28515625" customWidth="1"/>
    <col min="10976" max="10976" width="0.85546875" customWidth="1"/>
    <col min="10977" max="10977" width="16.5703125" bestFit="1" customWidth="1"/>
    <col min="10978" max="10978" width="13.42578125" bestFit="1" customWidth="1"/>
    <col min="11225" max="11225" width="4.85546875" bestFit="1" customWidth="1"/>
    <col min="11226" max="11226" width="5.85546875" bestFit="1" customWidth="1"/>
    <col min="11227" max="11227" width="7.42578125" bestFit="1" customWidth="1"/>
    <col min="11228" max="11228" width="8.140625" bestFit="1" customWidth="1"/>
    <col min="11229" max="11229" width="4.5703125" bestFit="1" customWidth="1"/>
    <col min="11230" max="11230" width="57.5703125" customWidth="1"/>
    <col min="11231" max="11231" width="14.28515625" customWidth="1"/>
    <col min="11232" max="11232" width="0.85546875" customWidth="1"/>
    <col min="11233" max="11233" width="16.5703125" bestFit="1" customWidth="1"/>
    <col min="11234" max="11234" width="13.42578125" bestFit="1" customWidth="1"/>
    <col min="11481" max="11481" width="4.85546875" bestFit="1" customWidth="1"/>
    <col min="11482" max="11482" width="5.85546875" bestFit="1" customWidth="1"/>
    <col min="11483" max="11483" width="7.42578125" bestFit="1" customWidth="1"/>
    <col min="11484" max="11484" width="8.140625" bestFit="1" customWidth="1"/>
    <col min="11485" max="11485" width="4.5703125" bestFit="1" customWidth="1"/>
    <col min="11486" max="11486" width="57.5703125" customWidth="1"/>
    <col min="11487" max="11487" width="14.28515625" customWidth="1"/>
    <col min="11488" max="11488" width="0.85546875" customWidth="1"/>
    <col min="11489" max="11489" width="16.5703125" bestFit="1" customWidth="1"/>
    <col min="11490" max="11490" width="13.42578125" bestFit="1" customWidth="1"/>
    <col min="11737" max="11737" width="4.85546875" bestFit="1" customWidth="1"/>
    <col min="11738" max="11738" width="5.85546875" bestFit="1" customWidth="1"/>
    <col min="11739" max="11739" width="7.42578125" bestFit="1" customWidth="1"/>
    <col min="11740" max="11740" width="8.140625" bestFit="1" customWidth="1"/>
    <col min="11741" max="11741" width="4.5703125" bestFit="1" customWidth="1"/>
    <col min="11742" max="11742" width="57.5703125" customWidth="1"/>
    <col min="11743" max="11743" width="14.28515625" customWidth="1"/>
    <col min="11744" max="11744" width="0.85546875" customWidth="1"/>
    <col min="11745" max="11745" width="16.5703125" bestFit="1" customWidth="1"/>
    <col min="11746" max="11746" width="13.42578125" bestFit="1" customWidth="1"/>
    <col min="11993" max="11993" width="4.85546875" bestFit="1" customWidth="1"/>
    <col min="11994" max="11994" width="5.85546875" bestFit="1" customWidth="1"/>
    <col min="11995" max="11995" width="7.42578125" bestFit="1" customWidth="1"/>
    <col min="11996" max="11996" width="8.140625" bestFit="1" customWidth="1"/>
    <col min="11997" max="11997" width="4.5703125" bestFit="1" customWidth="1"/>
    <col min="11998" max="11998" width="57.5703125" customWidth="1"/>
    <col min="11999" max="11999" width="14.28515625" customWidth="1"/>
    <col min="12000" max="12000" width="0.85546875" customWidth="1"/>
    <col min="12001" max="12001" width="16.5703125" bestFit="1" customWidth="1"/>
    <col min="12002" max="12002" width="13.42578125" bestFit="1" customWidth="1"/>
    <col min="12249" max="12249" width="4.85546875" bestFit="1" customWidth="1"/>
    <col min="12250" max="12250" width="5.85546875" bestFit="1" customWidth="1"/>
    <col min="12251" max="12251" width="7.42578125" bestFit="1" customWidth="1"/>
    <col min="12252" max="12252" width="8.140625" bestFit="1" customWidth="1"/>
    <col min="12253" max="12253" width="4.5703125" bestFit="1" customWidth="1"/>
    <col min="12254" max="12254" width="57.5703125" customWidth="1"/>
    <col min="12255" max="12255" width="14.28515625" customWidth="1"/>
    <col min="12256" max="12256" width="0.85546875" customWidth="1"/>
    <col min="12257" max="12257" width="16.5703125" bestFit="1" customWidth="1"/>
    <col min="12258" max="12258" width="13.42578125" bestFit="1" customWidth="1"/>
    <col min="12505" max="12505" width="4.85546875" bestFit="1" customWidth="1"/>
    <col min="12506" max="12506" width="5.85546875" bestFit="1" customWidth="1"/>
    <col min="12507" max="12507" width="7.42578125" bestFit="1" customWidth="1"/>
    <col min="12508" max="12508" width="8.140625" bestFit="1" customWidth="1"/>
    <col min="12509" max="12509" width="4.5703125" bestFit="1" customWidth="1"/>
    <col min="12510" max="12510" width="57.5703125" customWidth="1"/>
    <col min="12511" max="12511" width="14.28515625" customWidth="1"/>
    <col min="12512" max="12512" width="0.85546875" customWidth="1"/>
    <col min="12513" max="12513" width="16.5703125" bestFit="1" customWidth="1"/>
    <col min="12514" max="12514" width="13.42578125" bestFit="1" customWidth="1"/>
    <col min="12761" max="12761" width="4.85546875" bestFit="1" customWidth="1"/>
    <col min="12762" max="12762" width="5.85546875" bestFit="1" customWidth="1"/>
    <col min="12763" max="12763" width="7.42578125" bestFit="1" customWidth="1"/>
    <col min="12764" max="12764" width="8.140625" bestFit="1" customWidth="1"/>
    <col min="12765" max="12765" width="4.5703125" bestFit="1" customWidth="1"/>
    <col min="12766" max="12766" width="57.5703125" customWidth="1"/>
    <col min="12767" max="12767" width="14.28515625" customWidth="1"/>
    <col min="12768" max="12768" width="0.85546875" customWidth="1"/>
    <col min="12769" max="12769" width="16.5703125" bestFit="1" customWidth="1"/>
    <col min="12770" max="12770" width="13.42578125" bestFit="1" customWidth="1"/>
    <col min="13017" max="13017" width="4.85546875" bestFit="1" customWidth="1"/>
    <col min="13018" max="13018" width="5.85546875" bestFit="1" customWidth="1"/>
    <col min="13019" max="13019" width="7.42578125" bestFit="1" customWidth="1"/>
    <col min="13020" max="13020" width="8.140625" bestFit="1" customWidth="1"/>
    <col min="13021" max="13021" width="4.5703125" bestFit="1" customWidth="1"/>
    <col min="13022" max="13022" width="57.5703125" customWidth="1"/>
    <col min="13023" max="13023" width="14.28515625" customWidth="1"/>
    <col min="13024" max="13024" width="0.85546875" customWidth="1"/>
    <col min="13025" max="13025" width="16.5703125" bestFit="1" customWidth="1"/>
    <col min="13026" max="13026" width="13.42578125" bestFit="1" customWidth="1"/>
    <col min="13273" max="13273" width="4.85546875" bestFit="1" customWidth="1"/>
    <col min="13274" max="13274" width="5.85546875" bestFit="1" customWidth="1"/>
    <col min="13275" max="13275" width="7.42578125" bestFit="1" customWidth="1"/>
    <col min="13276" max="13276" width="8.140625" bestFit="1" customWidth="1"/>
    <col min="13277" max="13277" width="4.5703125" bestFit="1" customWidth="1"/>
    <col min="13278" max="13278" width="57.5703125" customWidth="1"/>
    <col min="13279" max="13279" width="14.28515625" customWidth="1"/>
    <col min="13280" max="13280" width="0.85546875" customWidth="1"/>
    <col min="13281" max="13281" width="16.5703125" bestFit="1" customWidth="1"/>
    <col min="13282" max="13282" width="13.42578125" bestFit="1" customWidth="1"/>
    <col min="13529" max="13529" width="4.85546875" bestFit="1" customWidth="1"/>
    <col min="13530" max="13530" width="5.85546875" bestFit="1" customWidth="1"/>
    <col min="13531" max="13531" width="7.42578125" bestFit="1" customWidth="1"/>
    <col min="13532" max="13532" width="8.140625" bestFit="1" customWidth="1"/>
    <col min="13533" max="13533" width="4.5703125" bestFit="1" customWidth="1"/>
    <col min="13534" max="13534" width="57.5703125" customWidth="1"/>
    <col min="13535" max="13535" width="14.28515625" customWidth="1"/>
    <col min="13536" max="13536" width="0.85546875" customWidth="1"/>
    <col min="13537" max="13537" width="16.5703125" bestFit="1" customWidth="1"/>
    <col min="13538" max="13538" width="13.42578125" bestFit="1" customWidth="1"/>
    <col min="13785" max="13785" width="4.85546875" bestFit="1" customWidth="1"/>
    <col min="13786" max="13786" width="5.85546875" bestFit="1" customWidth="1"/>
    <col min="13787" max="13787" width="7.42578125" bestFit="1" customWidth="1"/>
    <col min="13788" max="13788" width="8.140625" bestFit="1" customWidth="1"/>
    <col min="13789" max="13789" width="4.5703125" bestFit="1" customWidth="1"/>
    <col min="13790" max="13790" width="57.5703125" customWidth="1"/>
    <col min="13791" max="13791" width="14.28515625" customWidth="1"/>
    <col min="13792" max="13792" width="0.85546875" customWidth="1"/>
    <col min="13793" max="13793" width="16.5703125" bestFit="1" customWidth="1"/>
    <col min="13794" max="13794" width="13.42578125" bestFit="1" customWidth="1"/>
    <col min="14041" max="14041" width="4.85546875" bestFit="1" customWidth="1"/>
    <col min="14042" max="14042" width="5.85546875" bestFit="1" customWidth="1"/>
    <col min="14043" max="14043" width="7.42578125" bestFit="1" customWidth="1"/>
    <col min="14044" max="14044" width="8.140625" bestFit="1" customWidth="1"/>
    <col min="14045" max="14045" width="4.5703125" bestFit="1" customWidth="1"/>
    <col min="14046" max="14046" width="57.5703125" customWidth="1"/>
    <col min="14047" max="14047" width="14.28515625" customWidth="1"/>
    <col min="14048" max="14048" width="0.85546875" customWidth="1"/>
    <col min="14049" max="14049" width="16.5703125" bestFit="1" customWidth="1"/>
    <col min="14050" max="14050" width="13.42578125" bestFit="1" customWidth="1"/>
    <col min="14297" max="14297" width="4.85546875" bestFit="1" customWidth="1"/>
    <col min="14298" max="14298" width="5.85546875" bestFit="1" customWidth="1"/>
    <col min="14299" max="14299" width="7.42578125" bestFit="1" customWidth="1"/>
    <col min="14300" max="14300" width="8.140625" bestFit="1" customWidth="1"/>
    <col min="14301" max="14301" width="4.5703125" bestFit="1" customWidth="1"/>
    <col min="14302" max="14302" width="57.5703125" customWidth="1"/>
    <col min="14303" max="14303" width="14.28515625" customWidth="1"/>
    <col min="14304" max="14304" width="0.85546875" customWidth="1"/>
    <col min="14305" max="14305" width="16.5703125" bestFit="1" customWidth="1"/>
    <col min="14306" max="14306" width="13.42578125" bestFit="1" customWidth="1"/>
    <col min="14553" max="14553" width="4.85546875" bestFit="1" customWidth="1"/>
    <col min="14554" max="14554" width="5.85546875" bestFit="1" customWidth="1"/>
    <col min="14555" max="14555" width="7.42578125" bestFit="1" customWidth="1"/>
    <col min="14556" max="14556" width="8.140625" bestFit="1" customWidth="1"/>
    <col min="14557" max="14557" width="4.5703125" bestFit="1" customWidth="1"/>
    <col min="14558" max="14558" width="57.5703125" customWidth="1"/>
    <col min="14559" max="14559" width="14.28515625" customWidth="1"/>
    <col min="14560" max="14560" width="0.85546875" customWidth="1"/>
    <col min="14561" max="14561" width="16.5703125" bestFit="1" customWidth="1"/>
    <col min="14562" max="14562" width="13.42578125" bestFit="1" customWidth="1"/>
    <col min="14809" max="14809" width="4.85546875" bestFit="1" customWidth="1"/>
    <col min="14810" max="14810" width="5.85546875" bestFit="1" customWidth="1"/>
    <col min="14811" max="14811" width="7.42578125" bestFit="1" customWidth="1"/>
    <col min="14812" max="14812" width="8.140625" bestFit="1" customWidth="1"/>
    <col min="14813" max="14813" width="4.5703125" bestFit="1" customWidth="1"/>
    <col min="14814" max="14814" width="57.5703125" customWidth="1"/>
    <col min="14815" max="14815" width="14.28515625" customWidth="1"/>
    <col min="14816" max="14816" width="0.85546875" customWidth="1"/>
    <col min="14817" max="14817" width="16.5703125" bestFit="1" customWidth="1"/>
    <col min="14818" max="14818" width="13.42578125" bestFit="1" customWidth="1"/>
    <col min="15065" max="15065" width="4.85546875" bestFit="1" customWidth="1"/>
    <col min="15066" max="15066" width="5.85546875" bestFit="1" customWidth="1"/>
    <col min="15067" max="15067" width="7.42578125" bestFit="1" customWidth="1"/>
    <col min="15068" max="15068" width="8.140625" bestFit="1" customWidth="1"/>
    <col min="15069" max="15069" width="4.5703125" bestFit="1" customWidth="1"/>
    <col min="15070" max="15070" width="57.5703125" customWidth="1"/>
    <col min="15071" max="15071" width="14.28515625" customWidth="1"/>
    <col min="15072" max="15072" width="0.85546875" customWidth="1"/>
    <col min="15073" max="15073" width="16.5703125" bestFit="1" customWidth="1"/>
    <col min="15074" max="15074" width="13.42578125" bestFit="1" customWidth="1"/>
    <col min="15321" max="15321" width="4.85546875" bestFit="1" customWidth="1"/>
    <col min="15322" max="15322" width="5.85546875" bestFit="1" customWidth="1"/>
    <col min="15323" max="15323" width="7.42578125" bestFit="1" customWidth="1"/>
    <col min="15324" max="15324" width="8.140625" bestFit="1" customWidth="1"/>
    <col min="15325" max="15325" width="4.5703125" bestFit="1" customWidth="1"/>
    <col min="15326" max="15326" width="57.5703125" customWidth="1"/>
    <col min="15327" max="15327" width="14.28515625" customWidth="1"/>
    <col min="15328" max="15328" width="0.85546875" customWidth="1"/>
    <col min="15329" max="15329" width="16.5703125" bestFit="1" customWidth="1"/>
    <col min="15330" max="15330" width="13.42578125" bestFit="1" customWidth="1"/>
    <col min="15577" max="15577" width="4.85546875" bestFit="1" customWidth="1"/>
    <col min="15578" max="15578" width="5.85546875" bestFit="1" customWidth="1"/>
    <col min="15579" max="15579" width="7.42578125" bestFit="1" customWidth="1"/>
    <col min="15580" max="15580" width="8.140625" bestFit="1" customWidth="1"/>
    <col min="15581" max="15581" width="4.5703125" bestFit="1" customWidth="1"/>
    <col min="15582" max="15582" width="57.5703125" customWidth="1"/>
    <col min="15583" max="15583" width="14.28515625" customWidth="1"/>
    <col min="15584" max="15584" width="0.85546875" customWidth="1"/>
    <col min="15585" max="15585" width="16.5703125" bestFit="1" customWidth="1"/>
    <col min="15586" max="15586" width="13.42578125" bestFit="1" customWidth="1"/>
    <col min="15833" max="15833" width="4.85546875" bestFit="1" customWidth="1"/>
    <col min="15834" max="15834" width="5.85546875" bestFit="1" customWidth="1"/>
    <col min="15835" max="15835" width="7.42578125" bestFit="1" customWidth="1"/>
    <col min="15836" max="15836" width="8.140625" bestFit="1" customWidth="1"/>
    <col min="15837" max="15837" width="4.5703125" bestFit="1" customWidth="1"/>
    <col min="15838" max="15838" width="57.5703125" customWidth="1"/>
    <col min="15839" max="15839" width="14.28515625" customWidth="1"/>
    <col min="15840" max="15840" width="0.85546875" customWidth="1"/>
    <col min="15841" max="15841" width="16.5703125" bestFit="1" customWidth="1"/>
    <col min="15842" max="15842" width="13.42578125" bestFit="1" customWidth="1"/>
    <col min="16089" max="16089" width="4.85546875" bestFit="1" customWidth="1"/>
    <col min="16090" max="16090" width="5.85546875" bestFit="1" customWidth="1"/>
    <col min="16091" max="16091" width="7.42578125" bestFit="1" customWidth="1"/>
    <col min="16092" max="16092" width="8.140625" bestFit="1" customWidth="1"/>
    <col min="16093" max="16093" width="4.5703125" bestFit="1" customWidth="1"/>
    <col min="16094" max="16094" width="57.5703125" customWidth="1"/>
    <col min="16095" max="16095" width="14.28515625" customWidth="1"/>
    <col min="16096" max="16096" width="0.85546875" customWidth="1"/>
    <col min="16097" max="16097" width="16.5703125" bestFit="1" customWidth="1"/>
    <col min="16098" max="16098" width="13.42578125" bestFit="1" customWidth="1"/>
  </cols>
  <sheetData>
    <row r="1" spans="1:13">
      <c r="A1" s="26"/>
      <c r="B1" s="26"/>
      <c r="C1" s="26"/>
      <c r="D1" s="26"/>
      <c r="E1" s="26"/>
      <c r="F1" s="26"/>
      <c r="G1" s="26"/>
      <c r="H1" s="27"/>
      <c r="I1" s="27"/>
      <c r="J1" s="27"/>
      <c r="K1" s="27"/>
      <c r="L1" s="1"/>
      <c r="M1" s="1"/>
    </row>
    <row r="2" spans="1:13">
      <c r="A2" s="26"/>
      <c r="B2" s="26"/>
      <c r="C2" s="26"/>
      <c r="D2" s="26"/>
      <c r="E2" s="26"/>
      <c r="F2" s="26"/>
      <c r="G2" s="26"/>
      <c r="H2" s="27"/>
      <c r="I2" s="27"/>
      <c r="J2" s="27"/>
      <c r="K2" s="27"/>
      <c r="L2" s="1"/>
      <c r="M2" s="1"/>
    </row>
    <row r="3" spans="1:13">
      <c r="A3" s="26"/>
      <c r="B3" s="26"/>
      <c r="C3" s="26"/>
      <c r="D3" s="26"/>
      <c r="E3" s="26"/>
      <c r="F3" s="26"/>
      <c r="G3" s="26"/>
      <c r="H3" s="27"/>
      <c r="I3" s="27"/>
      <c r="J3" s="27"/>
      <c r="K3" s="27"/>
      <c r="L3" s="1"/>
      <c r="M3" s="1"/>
    </row>
    <row r="4" spans="1:13">
      <c r="A4" s="26"/>
      <c r="B4" s="26"/>
      <c r="C4" s="26"/>
      <c r="D4" s="26"/>
      <c r="E4" s="26"/>
      <c r="F4" s="26"/>
      <c r="G4" s="26"/>
      <c r="H4" s="27"/>
      <c r="I4" s="27"/>
      <c r="J4" s="27"/>
      <c r="K4" s="27"/>
      <c r="L4" s="1"/>
      <c r="M4" s="1"/>
    </row>
    <row r="5" spans="1:13" ht="20.25">
      <c r="A5" s="202" t="str">
        <f>'[1]Estado de flujo de Efectivo'!A1:B1</f>
        <v>Consejo Económico y Social -CES-</v>
      </c>
      <c r="B5" s="202"/>
      <c r="C5" s="202"/>
      <c r="D5" s="202"/>
      <c r="E5" s="202"/>
      <c r="F5" s="202"/>
      <c r="G5" s="202"/>
      <c r="H5" s="202"/>
      <c r="I5" s="153"/>
      <c r="J5" s="153"/>
      <c r="K5" s="153"/>
      <c r="L5" s="1"/>
      <c r="M5" s="1"/>
    </row>
    <row r="6" spans="1:13" ht="20.25">
      <c r="A6" s="202" t="s">
        <v>178</v>
      </c>
      <c r="B6" s="202"/>
      <c r="C6" s="202"/>
      <c r="D6" s="202"/>
      <c r="E6" s="202"/>
      <c r="F6" s="202"/>
      <c r="G6" s="202"/>
      <c r="H6" s="202"/>
      <c r="I6" s="153"/>
      <c r="J6" s="153"/>
      <c r="K6" s="153"/>
      <c r="L6" s="1"/>
      <c r="M6" s="1"/>
    </row>
    <row r="7" spans="1:13" ht="20.25">
      <c r="A7" s="202" t="s">
        <v>0</v>
      </c>
      <c r="B7" s="202"/>
      <c r="C7" s="202"/>
      <c r="D7" s="202"/>
      <c r="E7" s="202"/>
      <c r="F7" s="202"/>
      <c r="G7" s="202"/>
      <c r="H7" s="202"/>
      <c r="I7" s="153"/>
      <c r="J7" s="153"/>
      <c r="K7" s="153"/>
      <c r="L7" s="1"/>
      <c r="M7" s="1"/>
    </row>
    <row r="8" spans="1:13" ht="16.5" thickBot="1">
      <c r="A8" s="28"/>
      <c r="B8" s="28"/>
      <c r="C8" s="28"/>
      <c r="D8" s="28"/>
      <c r="E8" s="29"/>
      <c r="F8" s="30"/>
      <c r="G8" s="31"/>
      <c r="H8" s="32"/>
      <c r="I8" s="32"/>
      <c r="J8" s="32"/>
      <c r="K8" s="32"/>
      <c r="L8" s="1"/>
      <c r="M8" s="1"/>
    </row>
    <row r="9" spans="1:13" ht="16.5" thickBot="1">
      <c r="A9" s="203" t="s">
        <v>1</v>
      </c>
      <c r="B9" s="204"/>
      <c r="C9" s="204"/>
      <c r="D9" s="204"/>
      <c r="E9" s="205"/>
      <c r="F9" s="33"/>
      <c r="G9" s="34" t="s">
        <v>2</v>
      </c>
      <c r="H9" s="35" t="s">
        <v>2</v>
      </c>
      <c r="I9" s="169"/>
      <c r="J9" s="169"/>
      <c r="K9" s="169"/>
      <c r="L9" s="1"/>
      <c r="M9" s="1"/>
    </row>
    <row r="10" spans="1:13" ht="48" thickBot="1">
      <c r="A10" s="146"/>
      <c r="B10" s="146"/>
      <c r="C10" s="147"/>
      <c r="D10" s="147"/>
      <c r="E10" s="148"/>
      <c r="F10" s="36"/>
      <c r="G10" s="37" t="s">
        <v>143</v>
      </c>
      <c r="H10" s="38" t="s">
        <v>142</v>
      </c>
      <c r="I10" s="38" t="s">
        <v>155</v>
      </c>
      <c r="J10" s="38" t="s">
        <v>179</v>
      </c>
      <c r="K10" s="175" t="s">
        <v>131</v>
      </c>
      <c r="L10" s="175" t="s">
        <v>3</v>
      </c>
      <c r="M10" s="158"/>
    </row>
    <row r="11" spans="1:13" ht="32.25" thickBot="1">
      <c r="A11" s="39" t="s">
        <v>4</v>
      </c>
      <c r="B11" s="37" t="s">
        <v>5</v>
      </c>
      <c r="C11" s="40" t="s">
        <v>6</v>
      </c>
      <c r="D11" s="37" t="s">
        <v>7</v>
      </c>
      <c r="E11" s="37" t="s">
        <v>8</v>
      </c>
      <c r="F11" s="146" t="s">
        <v>9</v>
      </c>
      <c r="G11" s="41" t="s">
        <v>10</v>
      </c>
      <c r="H11" s="42" t="s">
        <v>10</v>
      </c>
      <c r="I11" s="42" t="s">
        <v>10</v>
      </c>
      <c r="J11" s="42" t="s">
        <v>10</v>
      </c>
      <c r="K11" s="42" t="s">
        <v>10</v>
      </c>
      <c r="L11" s="3" t="s">
        <v>10</v>
      </c>
      <c r="M11" s="159"/>
    </row>
    <row r="12" spans="1:13" ht="15.75">
      <c r="A12" s="43"/>
      <c r="B12" s="44"/>
      <c r="C12" s="45"/>
      <c r="D12" s="46"/>
      <c r="E12" s="47"/>
      <c r="F12" s="48"/>
      <c r="G12" s="49"/>
      <c r="H12" s="50"/>
      <c r="I12" s="170"/>
      <c r="J12" s="170"/>
      <c r="K12" s="170"/>
      <c r="L12" s="4"/>
      <c r="M12" s="159"/>
    </row>
    <row r="13" spans="1:13" ht="16.5" thickBot="1">
      <c r="A13" s="44">
        <v>2</v>
      </c>
      <c r="B13" s="44">
        <v>1</v>
      </c>
      <c r="C13" s="51"/>
      <c r="D13" s="44"/>
      <c r="E13" s="52"/>
      <c r="F13" s="53" t="s">
        <v>11</v>
      </c>
      <c r="G13" s="54">
        <f t="shared" ref="G13:L13" si="0">G14+G32+G43+G48</f>
        <v>33477126</v>
      </c>
      <c r="H13" s="54">
        <f>H14+H32+H43+H48</f>
        <v>2407434.8200000003</v>
      </c>
      <c r="I13" s="54">
        <f t="shared" si="0"/>
        <v>2134547.5699999998</v>
      </c>
      <c r="J13" s="54">
        <f t="shared" si="0"/>
        <v>2221135.5699999998</v>
      </c>
      <c r="K13" s="54">
        <f>K14+K32+K43+K48</f>
        <v>6763117.96</v>
      </c>
      <c r="L13" s="54">
        <f t="shared" si="0"/>
        <v>26714008.039999999</v>
      </c>
      <c r="M13" s="157"/>
    </row>
    <row r="14" spans="1:13" ht="16.5" thickBot="1">
      <c r="A14" s="44">
        <v>2</v>
      </c>
      <c r="B14" s="44">
        <v>1</v>
      </c>
      <c r="C14" s="51">
        <v>1</v>
      </c>
      <c r="D14" s="44"/>
      <c r="E14" s="52"/>
      <c r="F14" s="53" t="s">
        <v>12</v>
      </c>
      <c r="G14" s="55">
        <f t="shared" ref="G14:L14" si="1">G15+G18+G23+G26</f>
        <v>25377001</v>
      </c>
      <c r="H14" s="55">
        <f>H15+H18+H23+H26</f>
        <v>1947455.32</v>
      </c>
      <c r="I14" s="55">
        <f t="shared" si="1"/>
        <v>1867012</v>
      </c>
      <c r="J14" s="55">
        <f t="shared" si="1"/>
        <v>1887012</v>
      </c>
      <c r="K14" s="55">
        <f t="shared" si="1"/>
        <v>5701479.3200000003</v>
      </c>
      <c r="L14" s="55">
        <f t="shared" si="1"/>
        <v>19675521.68</v>
      </c>
      <c r="M14" s="160"/>
    </row>
    <row r="15" spans="1:13" ht="16.5" thickBot="1">
      <c r="A15" s="44">
        <v>2</v>
      </c>
      <c r="B15" s="44">
        <v>1</v>
      </c>
      <c r="C15" s="51">
        <v>1</v>
      </c>
      <c r="D15" s="44">
        <v>1</v>
      </c>
      <c r="E15" s="52"/>
      <c r="F15" s="53" t="s">
        <v>13</v>
      </c>
      <c r="G15" s="56">
        <f t="shared" ref="G15:L15" si="2">G16</f>
        <v>6300000</v>
      </c>
      <c r="H15" s="57">
        <f>H16</f>
        <v>525000</v>
      </c>
      <c r="I15" s="57">
        <f t="shared" si="2"/>
        <v>525000</v>
      </c>
      <c r="J15" s="57">
        <f t="shared" si="2"/>
        <v>525000</v>
      </c>
      <c r="K15" s="57">
        <f>K16</f>
        <v>1575000</v>
      </c>
      <c r="L15" s="57">
        <f t="shared" si="2"/>
        <v>4725000</v>
      </c>
      <c r="M15" s="161"/>
    </row>
    <row r="16" spans="1:13" ht="15.75">
      <c r="A16" s="44">
        <v>2</v>
      </c>
      <c r="B16" s="44">
        <v>1</v>
      </c>
      <c r="C16" s="51">
        <v>1</v>
      </c>
      <c r="D16" s="44">
        <v>1</v>
      </c>
      <c r="E16" s="44">
        <v>1</v>
      </c>
      <c r="F16" s="58" t="s">
        <v>14</v>
      </c>
      <c r="G16" s="59">
        <v>6300000</v>
      </c>
      <c r="H16" s="60">
        <f>300000+225000</f>
        <v>525000</v>
      </c>
      <c r="I16" s="60">
        <f>225000+300000</f>
        <v>525000</v>
      </c>
      <c r="J16" s="60">
        <f>225000+300000</f>
        <v>525000</v>
      </c>
      <c r="K16" s="179">
        <f>+H16+I16+J16</f>
        <v>1575000</v>
      </c>
      <c r="L16" s="179">
        <f>+G16-K16</f>
        <v>4725000</v>
      </c>
      <c r="M16" s="162"/>
    </row>
    <row r="17" spans="1:14" ht="15.75">
      <c r="A17" s="44"/>
      <c r="B17" s="44"/>
      <c r="C17" s="51"/>
      <c r="D17" s="44"/>
      <c r="E17" s="43"/>
      <c r="F17" s="58"/>
      <c r="G17" s="61"/>
      <c r="H17" s="62"/>
      <c r="I17" s="171"/>
      <c r="J17" s="171"/>
      <c r="K17" s="171"/>
      <c r="L17" s="171"/>
      <c r="M17" s="163"/>
    </row>
    <row r="18" spans="1:14" ht="32.25" thickBot="1">
      <c r="A18" s="44">
        <v>2</v>
      </c>
      <c r="B18" s="44">
        <v>1</v>
      </c>
      <c r="C18" s="51">
        <v>1</v>
      </c>
      <c r="D18" s="44">
        <v>2</v>
      </c>
      <c r="E18" s="52"/>
      <c r="F18" s="63" t="s">
        <v>15</v>
      </c>
      <c r="G18" s="54">
        <f>G19</f>
        <v>17124924</v>
      </c>
      <c r="H18" s="54">
        <f>H19+H20+H21</f>
        <v>1340721.32</v>
      </c>
      <c r="I18" s="54">
        <f>I19+I20+I21</f>
        <v>1342012</v>
      </c>
      <c r="J18" s="54">
        <f>J19+J20+J21</f>
        <v>1362012</v>
      </c>
      <c r="K18" s="54">
        <f>K19+K20+K21</f>
        <v>4044745.32</v>
      </c>
      <c r="L18" s="54">
        <f>L19+L20+L21</f>
        <v>13080178.68</v>
      </c>
      <c r="M18" s="157"/>
    </row>
    <row r="19" spans="1:14" ht="31.5">
      <c r="A19" s="44">
        <v>2</v>
      </c>
      <c r="B19" s="44">
        <v>1</v>
      </c>
      <c r="C19" s="51">
        <v>1</v>
      </c>
      <c r="D19" s="44">
        <v>2</v>
      </c>
      <c r="E19" s="44">
        <v>1</v>
      </c>
      <c r="F19" s="65" t="s">
        <v>16</v>
      </c>
      <c r="G19" s="66">
        <v>17124924</v>
      </c>
      <c r="H19" s="62">
        <f>73200+185000+185000+80000+120000+135000+53812+80000+66000+85000+60000+120000+29000+47419</f>
        <v>1319431</v>
      </c>
      <c r="I19" s="62">
        <f>73200+185000+185000+80000+120000+135000+53812+80000+66000+85000+60000+120000+29000+70000</f>
        <v>1342012</v>
      </c>
      <c r="J19" s="62">
        <f>73200+185000+185000+80000+120000+135000+53812+100000+66000+85000+60000+120000+29000+70000</f>
        <v>1362012</v>
      </c>
      <c r="K19" s="171">
        <f>+H19+I19+J19</f>
        <v>4023455</v>
      </c>
      <c r="L19" s="171">
        <f>+G19-K19</f>
        <v>13101469</v>
      </c>
      <c r="M19" s="163"/>
      <c r="N19" s="183"/>
    </row>
    <row r="20" spans="1:14" ht="15.75">
      <c r="A20" s="44">
        <v>2</v>
      </c>
      <c r="B20" s="44">
        <v>1</v>
      </c>
      <c r="C20" s="51">
        <v>1</v>
      </c>
      <c r="D20" s="44">
        <v>2</v>
      </c>
      <c r="E20" s="44">
        <v>2</v>
      </c>
      <c r="F20" s="65" t="s">
        <v>17</v>
      </c>
      <c r="G20" s="61"/>
      <c r="H20" s="62"/>
      <c r="I20" s="171"/>
      <c r="J20" s="171"/>
      <c r="K20" s="171">
        <f>+H20+I20</f>
        <v>0</v>
      </c>
      <c r="L20" s="171"/>
      <c r="M20" s="163"/>
    </row>
    <row r="21" spans="1:14" ht="31.5">
      <c r="A21" s="44">
        <v>2</v>
      </c>
      <c r="B21" s="44">
        <v>1</v>
      </c>
      <c r="C21" s="51">
        <v>1</v>
      </c>
      <c r="D21" s="44">
        <v>2</v>
      </c>
      <c r="E21" s="44">
        <v>5</v>
      </c>
      <c r="F21" s="65" t="s">
        <v>18</v>
      </c>
      <c r="G21" s="67"/>
      <c r="H21" s="69">
        <v>21290.32</v>
      </c>
      <c r="I21" s="172"/>
      <c r="J21" s="172"/>
      <c r="K21" s="171">
        <f>+H21+I21+J21</f>
        <v>21290.32</v>
      </c>
      <c r="L21" s="172">
        <f>+G21-K21</f>
        <v>-21290.32</v>
      </c>
      <c r="M21" s="164"/>
    </row>
    <row r="22" spans="1:14" ht="15.75">
      <c r="A22" s="44"/>
      <c r="B22" s="44"/>
      <c r="C22" s="51"/>
      <c r="D22" s="44"/>
      <c r="E22" s="44"/>
      <c r="F22" s="65"/>
      <c r="G22" s="67"/>
      <c r="H22" s="69" t="s">
        <v>19</v>
      </c>
      <c r="I22" s="172"/>
      <c r="J22" s="172"/>
      <c r="K22" s="172"/>
      <c r="L22" s="172"/>
      <c r="M22" s="164"/>
    </row>
    <row r="23" spans="1:14" ht="16.5" thickBot="1">
      <c r="A23" s="44">
        <v>2</v>
      </c>
      <c r="B23" s="44">
        <v>1</v>
      </c>
      <c r="C23" s="51">
        <v>1</v>
      </c>
      <c r="D23" s="44">
        <v>4</v>
      </c>
      <c r="E23" s="52"/>
      <c r="F23" s="63" t="s">
        <v>20</v>
      </c>
      <c r="G23" s="54">
        <f t="shared" ref="G23:K23" si="3">G24</f>
        <v>1952077</v>
      </c>
      <c r="H23" s="54">
        <f>H24</f>
        <v>0</v>
      </c>
      <c r="I23" s="54">
        <f t="shared" si="3"/>
        <v>0</v>
      </c>
      <c r="J23" s="54">
        <f t="shared" si="3"/>
        <v>0</v>
      </c>
      <c r="K23" s="54">
        <f t="shared" si="3"/>
        <v>0</v>
      </c>
      <c r="L23" s="54">
        <f>L24</f>
        <v>1952077</v>
      </c>
      <c r="M23" s="157"/>
    </row>
    <row r="24" spans="1:14" ht="15.75">
      <c r="A24" s="44">
        <v>2</v>
      </c>
      <c r="B24" s="44">
        <v>1</v>
      </c>
      <c r="C24" s="51">
        <v>1</v>
      </c>
      <c r="D24" s="44">
        <v>4</v>
      </c>
      <c r="E24" s="44">
        <v>1</v>
      </c>
      <c r="F24" s="65" t="s">
        <v>21</v>
      </c>
      <c r="G24" s="66">
        <v>1952077</v>
      </c>
      <c r="H24" s="68">
        <v>0</v>
      </c>
      <c r="I24" s="173"/>
      <c r="J24" s="173"/>
      <c r="K24" s="173"/>
      <c r="L24" s="173">
        <f>+G24-K27</f>
        <v>1952077</v>
      </c>
      <c r="M24" s="164"/>
    </row>
    <row r="25" spans="1:14" ht="15.75">
      <c r="A25" s="44"/>
      <c r="B25" s="44"/>
      <c r="C25" s="51"/>
      <c r="D25" s="44"/>
      <c r="E25" s="44"/>
      <c r="F25" s="65"/>
      <c r="G25" s="67"/>
      <c r="H25" s="69"/>
      <c r="I25" s="172"/>
      <c r="J25" s="172"/>
      <c r="K25" s="172"/>
      <c r="L25" s="172"/>
      <c r="M25" s="164"/>
    </row>
    <row r="26" spans="1:14" ht="16.5" thickBot="1">
      <c r="A26" s="44">
        <v>2</v>
      </c>
      <c r="B26" s="44">
        <v>1</v>
      </c>
      <c r="C26" s="51">
        <v>1</v>
      </c>
      <c r="D26" s="44">
        <v>5</v>
      </c>
      <c r="E26" s="52"/>
      <c r="F26" s="63" t="s">
        <v>22</v>
      </c>
      <c r="G26" s="70">
        <f>G27+G30</f>
        <v>0</v>
      </c>
      <c r="H26" s="70">
        <f>H27+H30+H28+H29</f>
        <v>81734</v>
      </c>
      <c r="I26" s="70">
        <f t="shared" ref="I26:J26" si="4">I27+I30+I28+I29</f>
        <v>0</v>
      </c>
      <c r="J26" s="70">
        <f t="shared" si="4"/>
        <v>0</v>
      </c>
      <c r="K26" s="70">
        <f>K27+K30+K28+K29</f>
        <v>81734</v>
      </c>
      <c r="L26" s="70">
        <f>L27+L30+L28+L29</f>
        <v>-81734</v>
      </c>
      <c r="M26" s="165"/>
    </row>
    <row r="27" spans="1:14" ht="15.75">
      <c r="A27" s="44">
        <v>2</v>
      </c>
      <c r="B27" s="44">
        <v>1</v>
      </c>
      <c r="C27" s="51">
        <v>1</v>
      </c>
      <c r="D27" s="44">
        <v>5</v>
      </c>
      <c r="E27" s="44">
        <v>1</v>
      </c>
      <c r="F27" s="65" t="s">
        <v>22</v>
      </c>
      <c r="G27" s="67"/>
      <c r="H27" s="68">
        <v>0</v>
      </c>
      <c r="I27" s="172"/>
      <c r="J27" s="172"/>
      <c r="K27" s="172">
        <f>+H27+I27+J27</f>
        <v>0</v>
      </c>
      <c r="L27" s="172">
        <f>+G27-K27</f>
        <v>0</v>
      </c>
      <c r="M27" s="164"/>
    </row>
    <row r="28" spans="1:14" ht="31.5">
      <c r="A28" s="44">
        <v>2</v>
      </c>
      <c r="B28" s="44">
        <v>1</v>
      </c>
      <c r="C28" s="51">
        <v>1</v>
      </c>
      <c r="D28" s="44">
        <v>5</v>
      </c>
      <c r="E28" s="44">
        <v>2</v>
      </c>
      <c r="F28" s="65" t="s">
        <v>23</v>
      </c>
      <c r="G28" s="67"/>
      <c r="H28" s="69">
        <v>0</v>
      </c>
      <c r="I28" s="172"/>
      <c r="J28" s="172"/>
      <c r="K28" s="172">
        <f>+H28+I28+J28</f>
        <v>0</v>
      </c>
      <c r="L28" s="172">
        <f>+G28-K28</f>
        <v>0</v>
      </c>
      <c r="M28" s="164"/>
    </row>
    <row r="29" spans="1:14" ht="15.75">
      <c r="A29" s="44">
        <v>2</v>
      </c>
      <c r="B29" s="44">
        <v>1</v>
      </c>
      <c r="C29" s="51">
        <v>1</v>
      </c>
      <c r="D29" s="44">
        <v>5</v>
      </c>
      <c r="E29" s="44">
        <v>3</v>
      </c>
      <c r="F29" s="65" t="s">
        <v>24</v>
      </c>
      <c r="G29" s="67"/>
      <c r="H29" s="69">
        <v>81734</v>
      </c>
      <c r="I29" s="172"/>
      <c r="J29" s="172"/>
      <c r="K29" s="172">
        <f>+H29+I29+J29</f>
        <v>81734</v>
      </c>
      <c r="L29" s="172">
        <f>+G29-K29</f>
        <v>-81734</v>
      </c>
      <c r="M29" s="164"/>
    </row>
    <row r="30" spans="1:14" ht="31.5">
      <c r="A30" s="44">
        <v>2</v>
      </c>
      <c r="B30" s="44">
        <v>1</v>
      </c>
      <c r="C30" s="51">
        <v>1</v>
      </c>
      <c r="D30" s="44">
        <v>5</v>
      </c>
      <c r="E30" s="44">
        <v>4</v>
      </c>
      <c r="F30" s="65" t="s">
        <v>25</v>
      </c>
      <c r="G30" s="67"/>
      <c r="H30" s="69"/>
      <c r="I30" s="172"/>
      <c r="J30" s="172"/>
      <c r="K30" s="172"/>
      <c r="L30" s="172"/>
      <c r="M30" s="164"/>
    </row>
    <row r="31" spans="1:14" ht="15.75">
      <c r="A31" s="44"/>
      <c r="B31" s="44"/>
      <c r="C31" s="51"/>
      <c r="D31" s="44"/>
      <c r="E31" s="44"/>
      <c r="F31" s="65"/>
      <c r="G31" s="67"/>
      <c r="H31" s="69"/>
      <c r="I31" s="172"/>
      <c r="J31" s="172"/>
      <c r="K31" s="172"/>
      <c r="L31" s="172"/>
      <c r="M31" s="164"/>
    </row>
    <row r="32" spans="1:14" ht="15.75">
      <c r="A32" s="44">
        <v>2</v>
      </c>
      <c r="B32" s="44">
        <v>1</v>
      </c>
      <c r="C32" s="51">
        <v>2</v>
      </c>
      <c r="D32" s="44"/>
      <c r="E32" s="44"/>
      <c r="F32" s="86" t="s">
        <v>26</v>
      </c>
      <c r="G32" s="150">
        <f t="shared" ref="G32:L32" si="5">G33</f>
        <v>4734631</v>
      </c>
      <c r="H32" s="151">
        <f>H33</f>
        <v>185000</v>
      </c>
      <c r="I32" s="151">
        <f t="shared" si="5"/>
        <v>0</v>
      </c>
      <c r="J32" s="151">
        <f t="shared" si="5"/>
        <v>63750</v>
      </c>
      <c r="K32" s="151">
        <f t="shared" si="5"/>
        <v>248750</v>
      </c>
      <c r="L32" s="151">
        <f t="shared" si="5"/>
        <v>4485881</v>
      </c>
      <c r="M32" s="160"/>
    </row>
    <row r="33" spans="1:13" ht="16.5" thickBot="1">
      <c r="A33" s="44">
        <v>2</v>
      </c>
      <c r="B33" s="44">
        <v>1</v>
      </c>
      <c r="C33" s="44">
        <v>2</v>
      </c>
      <c r="D33" s="44">
        <v>2</v>
      </c>
      <c r="E33" s="44"/>
      <c r="F33" s="63" t="s">
        <v>27</v>
      </c>
      <c r="G33" s="54">
        <f t="shared" ref="G33:K33" si="6">+G35+G36+G37+G39</f>
        <v>4734631</v>
      </c>
      <c r="H33" s="54">
        <f>+H35+H36+H37+H39</f>
        <v>185000</v>
      </c>
      <c r="I33" s="54">
        <f t="shared" si="6"/>
        <v>0</v>
      </c>
      <c r="J33" s="54">
        <f t="shared" si="6"/>
        <v>63750</v>
      </c>
      <c r="K33" s="54">
        <f t="shared" si="6"/>
        <v>248750</v>
      </c>
      <c r="L33" s="54">
        <f>+L35+L36+L37+L39</f>
        <v>4485881</v>
      </c>
      <c r="M33" s="157"/>
    </row>
    <row r="34" spans="1:13" ht="31.5">
      <c r="A34" s="44">
        <v>2</v>
      </c>
      <c r="B34" s="44">
        <v>1</v>
      </c>
      <c r="C34" s="44">
        <v>2</v>
      </c>
      <c r="D34" s="44">
        <v>2</v>
      </c>
      <c r="E34" s="44">
        <v>2</v>
      </c>
      <c r="F34" s="63" t="s">
        <v>28</v>
      </c>
      <c r="G34" s="83"/>
      <c r="H34" s="55">
        <v>0</v>
      </c>
      <c r="I34" s="174"/>
      <c r="J34" s="174"/>
      <c r="K34" s="174">
        <f>+H34+I34+J34</f>
        <v>0</v>
      </c>
      <c r="L34" s="174">
        <f>+G34-K34</f>
        <v>0</v>
      </c>
      <c r="M34" s="162"/>
    </row>
    <row r="35" spans="1:13" ht="15.75">
      <c r="A35" s="44">
        <v>2</v>
      </c>
      <c r="B35" s="44">
        <v>1</v>
      </c>
      <c r="C35" s="44">
        <v>2</v>
      </c>
      <c r="D35" s="44">
        <v>2</v>
      </c>
      <c r="E35" s="44">
        <v>4</v>
      </c>
      <c r="F35" s="65" t="s">
        <v>29</v>
      </c>
      <c r="G35" s="67">
        <v>0</v>
      </c>
      <c r="H35" s="69">
        <v>0</v>
      </c>
      <c r="I35" s="172"/>
      <c r="J35" s="172"/>
      <c r="K35" s="174">
        <f t="shared" ref="K35:K37" si="7">+H35+I35+J35</f>
        <v>0</v>
      </c>
      <c r="L35" s="172">
        <f>+-G35-K35</f>
        <v>0</v>
      </c>
      <c r="M35" s="164"/>
    </row>
    <row r="36" spans="1:13" ht="15.75">
      <c r="A36" s="44">
        <v>2</v>
      </c>
      <c r="B36" s="44">
        <v>1</v>
      </c>
      <c r="C36" s="44">
        <v>2</v>
      </c>
      <c r="D36" s="44">
        <v>2</v>
      </c>
      <c r="E36" s="44">
        <v>10</v>
      </c>
      <c r="F36" s="65" t="s">
        <v>149</v>
      </c>
      <c r="G36" s="67">
        <v>1208077</v>
      </c>
      <c r="H36" s="69"/>
      <c r="I36" s="172"/>
      <c r="J36" s="172"/>
      <c r="K36" s="174">
        <f t="shared" si="7"/>
        <v>0</v>
      </c>
      <c r="L36" s="172">
        <f>+G36-K36</f>
        <v>1208077</v>
      </c>
      <c r="M36" s="164"/>
    </row>
    <row r="37" spans="1:13" ht="15.75">
      <c r="A37" s="44">
        <v>2</v>
      </c>
      <c r="B37" s="44">
        <v>1</v>
      </c>
      <c r="C37" s="44">
        <v>2</v>
      </c>
      <c r="D37" s="44">
        <v>2</v>
      </c>
      <c r="E37" s="44">
        <v>15</v>
      </c>
      <c r="F37" s="65" t="s">
        <v>30</v>
      </c>
      <c r="G37" s="67">
        <v>1842577</v>
      </c>
      <c r="H37" s="69"/>
      <c r="I37" s="172"/>
      <c r="J37" s="172"/>
      <c r="K37" s="174">
        <f t="shared" si="7"/>
        <v>0</v>
      </c>
      <c r="L37" s="172">
        <f>+G37-K37</f>
        <v>1842577</v>
      </c>
      <c r="M37" s="164"/>
    </row>
    <row r="38" spans="1:13" ht="16.5" thickBot="1">
      <c r="A38" s="44"/>
      <c r="B38" s="44"/>
      <c r="C38" s="51"/>
      <c r="D38" s="44"/>
      <c r="E38" s="44"/>
      <c r="F38" s="65"/>
      <c r="G38" s="67"/>
      <c r="H38" s="69"/>
      <c r="I38" s="172"/>
      <c r="J38" s="172"/>
      <c r="K38" s="172"/>
      <c r="L38" s="172"/>
      <c r="M38" s="164"/>
    </row>
    <row r="39" spans="1:13" ht="16.5" thickBot="1">
      <c r="A39" s="44">
        <v>2</v>
      </c>
      <c r="B39" s="44">
        <v>1</v>
      </c>
      <c r="C39" s="51">
        <v>3</v>
      </c>
      <c r="D39" s="44">
        <v>7</v>
      </c>
      <c r="E39" s="44"/>
      <c r="F39" s="86" t="s">
        <v>150</v>
      </c>
      <c r="G39" s="71">
        <f t="shared" ref="G39:K39" si="8">+G40+G41</f>
        <v>1683977</v>
      </c>
      <c r="H39" s="71">
        <f>+H40+H41</f>
        <v>185000</v>
      </c>
      <c r="I39" s="71">
        <f t="shared" si="8"/>
        <v>0</v>
      </c>
      <c r="J39" s="71">
        <f t="shared" si="8"/>
        <v>63750</v>
      </c>
      <c r="K39" s="71">
        <f t="shared" si="8"/>
        <v>248750</v>
      </c>
      <c r="L39" s="71">
        <f>+L40+L41</f>
        <v>1435227</v>
      </c>
      <c r="M39" s="157"/>
    </row>
    <row r="40" spans="1:13" ht="15.75">
      <c r="A40" s="44">
        <v>2</v>
      </c>
      <c r="B40" s="44">
        <v>1</v>
      </c>
      <c r="C40" s="51">
        <v>3</v>
      </c>
      <c r="D40" s="44">
        <v>7</v>
      </c>
      <c r="E40" s="44">
        <v>2</v>
      </c>
      <c r="F40" s="65" t="s">
        <v>151</v>
      </c>
      <c r="G40" s="67">
        <v>130000</v>
      </c>
      <c r="H40" s="69"/>
      <c r="I40" s="172"/>
      <c r="J40" s="172"/>
      <c r="K40" s="172">
        <f>+H40+I40+J40</f>
        <v>0</v>
      </c>
      <c r="L40" s="172">
        <f>+G40-K40</f>
        <v>130000</v>
      </c>
      <c r="M40" s="164"/>
    </row>
    <row r="41" spans="1:13" ht="15.75">
      <c r="A41" s="44">
        <v>2</v>
      </c>
      <c r="B41" s="44">
        <v>1</v>
      </c>
      <c r="C41" s="51">
        <v>3</v>
      </c>
      <c r="D41" s="44">
        <v>7</v>
      </c>
      <c r="E41" s="44">
        <v>4</v>
      </c>
      <c r="F41" s="65" t="s">
        <v>152</v>
      </c>
      <c r="G41" s="67">
        <v>1553977</v>
      </c>
      <c r="H41" s="69">
        <v>185000</v>
      </c>
      <c r="I41" s="172"/>
      <c r="J41" s="172">
        <v>63750</v>
      </c>
      <c r="K41" s="172">
        <f>+H41+I41+J41</f>
        <v>248750</v>
      </c>
      <c r="L41" s="172">
        <f>+G41-K41</f>
        <v>1305227</v>
      </c>
      <c r="M41" s="164"/>
    </row>
    <row r="42" spans="1:13" ht="15.75">
      <c r="A42" s="44"/>
      <c r="B42" s="44"/>
      <c r="C42" s="51"/>
      <c r="D42" s="44"/>
      <c r="E42" s="44"/>
      <c r="F42" s="65"/>
      <c r="G42" s="67"/>
      <c r="H42" s="69"/>
      <c r="I42" s="172"/>
      <c r="J42" s="172"/>
      <c r="K42" s="172"/>
      <c r="L42" s="172"/>
      <c r="M42" s="164"/>
    </row>
    <row r="43" spans="1:13" s="11" customFormat="1" ht="16.5" thickBot="1">
      <c r="A43" s="44">
        <v>2</v>
      </c>
      <c r="B43" s="44">
        <v>1</v>
      </c>
      <c r="C43" s="51">
        <v>3</v>
      </c>
      <c r="D43" s="44"/>
      <c r="E43" s="44"/>
      <c r="F43" s="63" t="s">
        <v>31</v>
      </c>
      <c r="G43" s="67"/>
      <c r="H43" s="69"/>
      <c r="I43" s="172"/>
      <c r="J43" s="172"/>
      <c r="K43" s="172"/>
      <c r="L43" s="174">
        <f>SUM(L44:L46)</f>
        <v>0</v>
      </c>
      <c r="M43" s="162"/>
    </row>
    <row r="44" spans="1:13" ht="16.5" thickBot="1">
      <c r="A44" s="44">
        <v>2</v>
      </c>
      <c r="B44" s="44">
        <v>1</v>
      </c>
      <c r="C44" s="51">
        <v>3</v>
      </c>
      <c r="D44" s="44">
        <v>1</v>
      </c>
      <c r="E44" s="52"/>
      <c r="F44" s="63" t="s">
        <v>32</v>
      </c>
      <c r="G44" s="56">
        <f t="shared" ref="G44:L44" si="9">G45+G46</f>
        <v>0</v>
      </c>
      <c r="H44" s="57">
        <f>H45+H46</f>
        <v>0</v>
      </c>
      <c r="I44" s="57">
        <f t="shared" si="9"/>
        <v>0</v>
      </c>
      <c r="J44" s="57">
        <f t="shared" si="9"/>
        <v>0</v>
      </c>
      <c r="K44" s="57">
        <f t="shared" si="9"/>
        <v>0</v>
      </c>
      <c r="L44" s="57">
        <f t="shared" si="9"/>
        <v>0</v>
      </c>
      <c r="M44" s="161"/>
    </row>
    <row r="45" spans="1:13" ht="15.75">
      <c r="A45" s="44">
        <v>2</v>
      </c>
      <c r="B45" s="44">
        <v>1</v>
      </c>
      <c r="C45" s="51">
        <v>3</v>
      </c>
      <c r="D45" s="44">
        <v>1</v>
      </c>
      <c r="E45" s="44">
        <v>1</v>
      </c>
      <c r="F45" s="65" t="s">
        <v>33</v>
      </c>
      <c r="G45" s="66"/>
      <c r="H45" s="69">
        <f>G45*12</f>
        <v>0</v>
      </c>
      <c r="I45" s="172"/>
      <c r="J45" s="172"/>
      <c r="K45" s="172">
        <f>+H45+I45+J45</f>
        <v>0</v>
      </c>
      <c r="L45" s="172">
        <f>+G45-K45</f>
        <v>0</v>
      </c>
      <c r="M45" s="164"/>
    </row>
    <row r="46" spans="1:13" ht="15.75">
      <c r="A46" s="44">
        <v>2</v>
      </c>
      <c r="B46" s="44">
        <v>1</v>
      </c>
      <c r="C46" s="51">
        <v>3</v>
      </c>
      <c r="D46" s="44">
        <v>1</v>
      </c>
      <c r="E46" s="44">
        <v>2</v>
      </c>
      <c r="F46" s="65" t="s">
        <v>34</v>
      </c>
      <c r="G46" s="67"/>
      <c r="H46" s="69">
        <f>G46*12</f>
        <v>0</v>
      </c>
      <c r="I46" s="172"/>
      <c r="J46" s="172"/>
      <c r="K46" s="172">
        <f>+H46+I46+J46</f>
        <v>0</v>
      </c>
      <c r="L46" s="172">
        <f>+G46-K46</f>
        <v>0</v>
      </c>
      <c r="M46" s="164"/>
    </row>
    <row r="47" spans="1:13" ht="15.75">
      <c r="A47" s="44"/>
      <c r="B47" s="44"/>
      <c r="C47" s="51"/>
      <c r="D47" s="44"/>
      <c r="E47" s="44"/>
      <c r="F47" s="65"/>
      <c r="G47" s="67"/>
      <c r="H47" s="69"/>
      <c r="I47" s="172"/>
      <c r="J47" s="172"/>
      <c r="K47" s="172"/>
      <c r="L47" s="172"/>
      <c r="M47" s="164"/>
    </row>
    <row r="48" spans="1:13" ht="32.25" thickBot="1">
      <c r="A48" s="44">
        <v>2</v>
      </c>
      <c r="B48" s="73">
        <v>1</v>
      </c>
      <c r="C48" s="74">
        <v>5</v>
      </c>
      <c r="D48" s="52"/>
      <c r="E48" s="52"/>
      <c r="F48" s="63" t="s">
        <v>35</v>
      </c>
      <c r="G48" s="54">
        <f t="shared" ref="G48:K48" si="10">SUM(G49:G51)</f>
        <v>3365494</v>
      </c>
      <c r="H48" s="55">
        <f>SUM(H49:H51)</f>
        <v>274979.5</v>
      </c>
      <c r="I48" s="55">
        <f t="shared" si="10"/>
        <v>267535.57</v>
      </c>
      <c r="J48" s="55">
        <f>SUM(J49:J51)</f>
        <v>270373.57</v>
      </c>
      <c r="K48" s="55">
        <f t="shared" si="10"/>
        <v>812888.64</v>
      </c>
      <c r="L48" s="55">
        <f>SUM(L49:L51)</f>
        <v>2552605.36</v>
      </c>
      <c r="M48" s="160"/>
    </row>
    <row r="49" spans="1:13" ht="15.75">
      <c r="A49" s="44">
        <v>2</v>
      </c>
      <c r="B49" s="44">
        <v>1</v>
      </c>
      <c r="C49" s="51">
        <v>5</v>
      </c>
      <c r="D49" s="44">
        <v>1</v>
      </c>
      <c r="E49" s="44"/>
      <c r="F49" s="58" t="s">
        <v>36</v>
      </c>
      <c r="G49" s="66">
        <v>1543459</v>
      </c>
      <c r="H49" s="68">
        <v>126042.25</v>
      </c>
      <c r="I49" s="68">
        <v>122590.49</v>
      </c>
      <c r="J49" s="68">
        <v>124008.49</v>
      </c>
      <c r="K49" s="68">
        <f>+H49+I49+J49</f>
        <v>372641.23</v>
      </c>
      <c r="L49" s="68">
        <f>+G49-K49</f>
        <v>1170817.77</v>
      </c>
      <c r="M49" s="161"/>
    </row>
    <row r="50" spans="1:13" ht="31.5">
      <c r="A50" s="44">
        <v>2</v>
      </c>
      <c r="B50" s="44">
        <v>1</v>
      </c>
      <c r="C50" s="51">
        <v>5</v>
      </c>
      <c r="D50" s="44">
        <v>2</v>
      </c>
      <c r="E50" s="44"/>
      <c r="F50" s="58" t="s">
        <v>37</v>
      </c>
      <c r="G50" s="67">
        <v>1663170</v>
      </c>
      <c r="H50" s="69">
        <v>136014.48000000001</v>
      </c>
      <c r="I50" s="69">
        <v>132557.85</v>
      </c>
      <c r="J50" s="69">
        <v>133977.85</v>
      </c>
      <c r="K50" s="69">
        <f>+H50+I50+J50</f>
        <v>402550.18000000005</v>
      </c>
      <c r="L50" s="69">
        <f>+G50-K50</f>
        <v>1260619.8199999998</v>
      </c>
      <c r="M50" s="161"/>
    </row>
    <row r="51" spans="1:13" ht="15.75">
      <c r="A51" s="44">
        <v>2</v>
      </c>
      <c r="B51" s="44">
        <v>1</v>
      </c>
      <c r="C51" s="51">
        <v>5</v>
      </c>
      <c r="D51" s="44">
        <v>3</v>
      </c>
      <c r="E51" s="44"/>
      <c r="F51" s="65" t="s">
        <v>38</v>
      </c>
      <c r="G51" s="67">
        <v>158865</v>
      </c>
      <c r="H51" s="69">
        <v>12922.77</v>
      </c>
      <c r="I51" s="69">
        <v>12387.23</v>
      </c>
      <c r="J51" s="69">
        <v>12387.23</v>
      </c>
      <c r="K51" s="69">
        <f>+H51+I51+J51</f>
        <v>37697.229999999996</v>
      </c>
      <c r="L51" s="69">
        <f>+G51-K51</f>
        <v>121167.77</v>
      </c>
      <c r="M51" s="161"/>
    </row>
    <row r="52" spans="1:13" ht="15.75">
      <c r="A52" s="44"/>
      <c r="B52" s="44"/>
      <c r="C52" s="51"/>
      <c r="D52" s="44"/>
      <c r="E52" s="44"/>
      <c r="F52" s="65"/>
      <c r="G52" s="67"/>
      <c r="H52" s="69"/>
      <c r="I52" s="69"/>
      <c r="J52" s="69"/>
      <c r="K52" s="69"/>
      <c r="L52" s="69"/>
      <c r="M52" s="161"/>
    </row>
    <row r="53" spans="1:13" ht="16.5" thickBot="1">
      <c r="A53" s="44">
        <v>2</v>
      </c>
      <c r="B53" s="44">
        <v>2</v>
      </c>
      <c r="C53" s="51"/>
      <c r="D53" s="44"/>
      <c r="E53" s="52"/>
      <c r="F53" s="53" t="s">
        <v>39</v>
      </c>
      <c r="G53" s="54">
        <f t="shared" ref="G53:K53" si="11">G54+G62+G66+G70+G74+G86+G94+G82+G110</f>
        <v>19955541</v>
      </c>
      <c r="H53" s="64">
        <f>H54+H62+H66+H70+H74+H86+H94+H82+H110</f>
        <v>2925896.66</v>
      </c>
      <c r="I53" s="64">
        <f t="shared" si="11"/>
        <v>2324676.38</v>
      </c>
      <c r="J53" s="64">
        <f>J54+J62+J66+J70+J74+J86+J94+J82+J110</f>
        <v>3105397.47</v>
      </c>
      <c r="K53" s="64">
        <f t="shared" si="11"/>
        <v>8355970.5099999988</v>
      </c>
      <c r="L53" s="64">
        <f>L54+L62+L66+L70+L74+L86+L94+L82+L110</f>
        <v>11599570.49</v>
      </c>
      <c r="M53" s="160"/>
    </row>
    <row r="54" spans="1:13" ht="16.5" thickBot="1">
      <c r="A54" s="44">
        <v>2</v>
      </c>
      <c r="B54" s="44">
        <v>2</v>
      </c>
      <c r="C54" s="51">
        <v>1</v>
      </c>
      <c r="D54" s="44"/>
      <c r="E54" s="52"/>
      <c r="F54" s="53" t="s">
        <v>40</v>
      </c>
      <c r="G54" s="71">
        <f t="shared" ref="G54:I54" si="12">G55+G56+G57+G59</f>
        <v>2534355</v>
      </c>
      <c r="H54" s="55">
        <f>H55+H56+H57+H59</f>
        <v>138110.23000000001</v>
      </c>
      <c r="I54" s="55">
        <f t="shared" si="12"/>
        <v>151924.69</v>
      </c>
      <c r="J54" s="55">
        <f>J55+J56+J57+J59</f>
        <v>147809.08000000002</v>
      </c>
      <c r="K54" s="55">
        <f>K55+K56+K57+K59</f>
        <v>437844</v>
      </c>
      <c r="L54" s="55">
        <f>L55+L56+L57+L59</f>
        <v>2096511</v>
      </c>
      <c r="M54" s="160"/>
    </row>
    <row r="55" spans="1:13" ht="15.75">
      <c r="A55" s="44">
        <v>2</v>
      </c>
      <c r="B55" s="44">
        <v>2</v>
      </c>
      <c r="C55" s="51">
        <v>1</v>
      </c>
      <c r="D55" s="44">
        <v>3</v>
      </c>
      <c r="E55" s="44"/>
      <c r="F55" s="58" t="s">
        <v>41</v>
      </c>
      <c r="G55" s="66">
        <v>306000</v>
      </c>
      <c r="H55" s="68">
        <f>22419.33+22224.9+2041+31889</f>
        <v>78574.23000000001</v>
      </c>
      <c r="I55" s="68">
        <f>31889+22647.36+22224.9+2041+10171.6</f>
        <v>88973.860000000015</v>
      </c>
      <c r="J55" s="68">
        <f>22566.23+31889+22224.9+2041</f>
        <v>78721.13</v>
      </c>
      <c r="K55" s="68">
        <f>+H55+I55+J55</f>
        <v>246269.22000000003</v>
      </c>
      <c r="L55" s="68">
        <f>+G55-K55</f>
        <v>59730.77999999997</v>
      </c>
      <c r="M55" s="161"/>
    </row>
    <row r="56" spans="1:13" ht="15.75">
      <c r="A56" s="44">
        <v>2</v>
      </c>
      <c r="B56" s="44">
        <v>2</v>
      </c>
      <c r="C56" s="51">
        <v>1</v>
      </c>
      <c r="D56" s="44">
        <v>4</v>
      </c>
      <c r="E56" s="44"/>
      <c r="F56" s="58" t="s">
        <v>42</v>
      </c>
      <c r="G56" s="67">
        <v>276000</v>
      </c>
      <c r="H56" s="69"/>
      <c r="I56" s="69"/>
      <c r="J56" s="69"/>
      <c r="K56" s="69">
        <f>+H56+I56+J56</f>
        <v>0</v>
      </c>
      <c r="L56" s="69">
        <f>+G56-K56</f>
        <v>276000</v>
      </c>
      <c r="M56" s="161"/>
    </row>
    <row r="57" spans="1:13" ht="31.5">
      <c r="A57" s="44">
        <v>2</v>
      </c>
      <c r="B57" s="44">
        <v>2</v>
      </c>
      <c r="C57" s="51">
        <v>1</v>
      </c>
      <c r="D57" s="44">
        <v>5</v>
      </c>
      <c r="E57" s="44"/>
      <c r="F57" s="58" t="s">
        <v>43</v>
      </c>
      <c r="G57" s="67">
        <v>992355</v>
      </c>
      <c r="H57" s="69"/>
      <c r="I57" s="69"/>
      <c r="J57" s="69"/>
      <c r="K57" s="69">
        <f>+H57+I57+J57</f>
        <v>0</v>
      </c>
      <c r="L57" s="69">
        <f>+G57-K57</f>
        <v>992355</v>
      </c>
      <c r="M57" s="161"/>
    </row>
    <row r="58" spans="1:13" ht="15.75">
      <c r="A58" s="44"/>
      <c r="B58" s="44"/>
      <c r="C58" s="51"/>
      <c r="D58" s="44"/>
      <c r="E58" s="44"/>
      <c r="F58" s="58"/>
      <c r="G58" s="67"/>
      <c r="H58" s="69"/>
      <c r="I58" s="69"/>
      <c r="J58" s="69"/>
      <c r="K58" s="69"/>
      <c r="L58" s="69"/>
      <c r="M58" s="161"/>
    </row>
    <row r="59" spans="1:13" ht="16.5" thickBot="1">
      <c r="A59" s="44">
        <v>2</v>
      </c>
      <c r="B59" s="44">
        <v>2</v>
      </c>
      <c r="C59" s="51">
        <v>1</v>
      </c>
      <c r="D59" s="44">
        <v>6</v>
      </c>
      <c r="E59" s="44"/>
      <c r="F59" s="63" t="s">
        <v>44</v>
      </c>
      <c r="G59" s="54">
        <f t="shared" ref="G59:K59" si="13">G60</f>
        <v>960000</v>
      </c>
      <c r="H59" s="75">
        <f>H60</f>
        <v>59536</v>
      </c>
      <c r="I59" s="75">
        <f t="shared" si="13"/>
        <v>62950.83</v>
      </c>
      <c r="J59" s="75">
        <f>J60</f>
        <v>69087.95</v>
      </c>
      <c r="K59" s="75">
        <f t="shared" si="13"/>
        <v>191574.78</v>
      </c>
      <c r="L59" s="75">
        <f>L60</f>
        <v>768425.22</v>
      </c>
      <c r="M59" s="161"/>
    </row>
    <row r="60" spans="1:13" ht="15.75">
      <c r="A60" s="44">
        <v>2</v>
      </c>
      <c r="B60" s="44">
        <v>2</v>
      </c>
      <c r="C60" s="51">
        <v>1</v>
      </c>
      <c r="D60" s="44">
        <v>6</v>
      </c>
      <c r="E60" s="44">
        <v>1</v>
      </c>
      <c r="F60" s="58" t="s">
        <v>45</v>
      </c>
      <c r="G60" s="66">
        <v>960000</v>
      </c>
      <c r="H60" s="69">
        <v>59536</v>
      </c>
      <c r="I60" s="69">
        <v>62950.83</v>
      </c>
      <c r="J60" s="69">
        <v>69087.95</v>
      </c>
      <c r="K60" s="69">
        <f>+H60+I60+J60</f>
        <v>191574.78</v>
      </c>
      <c r="L60" s="69">
        <f>+G60-K60</f>
        <v>768425.22</v>
      </c>
      <c r="M60" s="161"/>
    </row>
    <row r="61" spans="1:13" ht="15.75">
      <c r="A61" s="44"/>
      <c r="B61" s="44"/>
      <c r="C61" s="51"/>
      <c r="D61" s="44"/>
      <c r="E61" s="44"/>
      <c r="F61" s="58"/>
      <c r="G61" s="67"/>
      <c r="H61" s="69"/>
      <c r="I61" s="69"/>
      <c r="J61" s="69"/>
      <c r="K61" s="69"/>
      <c r="L61" s="69"/>
      <c r="M61" s="161"/>
    </row>
    <row r="62" spans="1:13" ht="32.25" thickBot="1">
      <c r="A62" s="44">
        <v>2</v>
      </c>
      <c r="B62" s="44">
        <v>2</v>
      </c>
      <c r="C62" s="51">
        <v>2</v>
      </c>
      <c r="D62" s="44"/>
      <c r="E62" s="44"/>
      <c r="F62" s="63" t="s">
        <v>46</v>
      </c>
      <c r="G62" s="54">
        <f>SUM(G63:G64)</f>
        <v>468493</v>
      </c>
      <c r="H62" s="55">
        <f>H63+H64</f>
        <v>3100</v>
      </c>
      <c r="I62" s="55">
        <f>I63+I64</f>
        <v>575226.86</v>
      </c>
      <c r="J62" s="55">
        <f>J63+J64</f>
        <v>3450</v>
      </c>
      <c r="K62" s="55">
        <f>K63+K64</f>
        <v>581776.86</v>
      </c>
      <c r="L62" s="55">
        <f>L63+L64</f>
        <v>-113283.85999999999</v>
      </c>
      <c r="M62" s="160"/>
    </row>
    <row r="63" spans="1:13" ht="15.75">
      <c r="A63" s="44">
        <v>2</v>
      </c>
      <c r="B63" s="44">
        <v>2</v>
      </c>
      <c r="C63" s="51">
        <v>2</v>
      </c>
      <c r="D63" s="44">
        <v>1</v>
      </c>
      <c r="E63" s="44"/>
      <c r="F63" s="65" t="s">
        <v>47</v>
      </c>
      <c r="G63" s="66">
        <v>436493</v>
      </c>
      <c r="H63" s="68">
        <v>3100</v>
      </c>
      <c r="I63" s="68">
        <f>167500+347694.36+60032.5</f>
        <v>575226.86</v>
      </c>
      <c r="J63" s="68">
        <f>3450</f>
        <v>3450</v>
      </c>
      <c r="K63" s="68">
        <f>+H63+I63+J63</f>
        <v>581776.86</v>
      </c>
      <c r="L63" s="68">
        <f>+G63-K63</f>
        <v>-145283.85999999999</v>
      </c>
      <c r="M63" s="161"/>
    </row>
    <row r="64" spans="1:13" ht="15.75">
      <c r="A64" s="44">
        <v>2</v>
      </c>
      <c r="B64" s="44">
        <v>2</v>
      </c>
      <c r="C64" s="51">
        <v>2</v>
      </c>
      <c r="D64" s="44">
        <v>2</v>
      </c>
      <c r="E64" s="44"/>
      <c r="F64" s="65" t="s">
        <v>48</v>
      </c>
      <c r="G64" s="67">
        <v>32000</v>
      </c>
      <c r="H64" s="69"/>
      <c r="I64" s="69"/>
      <c r="J64" s="69"/>
      <c r="K64" s="69"/>
      <c r="L64" s="69">
        <f>+G64-K64</f>
        <v>32000</v>
      </c>
      <c r="M64" s="161"/>
    </row>
    <row r="65" spans="1:14" ht="15.75">
      <c r="A65" s="44"/>
      <c r="B65" s="44"/>
      <c r="C65" s="51"/>
      <c r="D65" s="44"/>
      <c r="E65" s="44"/>
      <c r="F65" s="58"/>
      <c r="G65" s="67"/>
      <c r="H65" s="69"/>
      <c r="I65" s="69"/>
      <c r="J65" s="69"/>
      <c r="K65" s="69"/>
      <c r="L65" s="69"/>
      <c r="M65" s="161"/>
    </row>
    <row r="66" spans="1:14" ht="16.5" thickBot="1">
      <c r="A66" s="44">
        <v>2</v>
      </c>
      <c r="B66" s="44">
        <v>2</v>
      </c>
      <c r="C66" s="51">
        <v>3</v>
      </c>
      <c r="D66" s="44"/>
      <c r="E66" s="44"/>
      <c r="F66" s="63" t="s">
        <v>49</v>
      </c>
      <c r="G66" s="54">
        <f t="shared" ref="G66:K66" si="14">G67+G68</f>
        <v>189190</v>
      </c>
      <c r="H66" s="64">
        <f>H67+H68</f>
        <v>1600</v>
      </c>
      <c r="I66" s="64">
        <f t="shared" si="14"/>
        <v>1800</v>
      </c>
      <c r="J66" s="64">
        <f>J67+J68</f>
        <v>145917.6</v>
      </c>
      <c r="K66" s="64">
        <f t="shared" si="14"/>
        <v>149317.6</v>
      </c>
      <c r="L66" s="64">
        <f>L67+L68</f>
        <v>39872.399999999994</v>
      </c>
      <c r="M66" s="160"/>
    </row>
    <row r="67" spans="1:14" ht="15.75">
      <c r="A67" s="44">
        <v>2</v>
      </c>
      <c r="B67" s="44">
        <v>2</v>
      </c>
      <c r="C67" s="51">
        <v>3</v>
      </c>
      <c r="D67" s="44">
        <v>1</v>
      </c>
      <c r="E67" s="77"/>
      <c r="F67" s="65" t="s">
        <v>50</v>
      </c>
      <c r="G67" s="66">
        <v>150000</v>
      </c>
      <c r="H67" s="60">
        <f>800+800</f>
        <v>1600</v>
      </c>
      <c r="I67" s="60">
        <v>1800</v>
      </c>
      <c r="J67" s="60">
        <v>3000</v>
      </c>
      <c r="K67" s="60">
        <f>+H67+I67+J67</f>
        <v>6400</v>
      </c>
      <c r="L67" s="60">
        <f>+G67-K67</f>
        <v>143600</v>
      </c>
      <c r="M67" s="160"/>
    </row>
    <row r="68" spans="1:14" ht="15.75">
      <c r="A68" s="44">
        <v>2</v>
      </c>
      <c r="B68" s="44">
        <v>2</v>
      </c>
      <c r="C68" s="51">
        <v>3</v>
      </c>
      <c r="D68" s="44">
        <v>2</v>
      </c>
      <c r="E68" s="77"/>
      <c r="F68" s="65" t="s">
        <v>51</v>
      </c>
      <c r="G68" s="67">
        <v>39190</v>
      </c>
      <c r="H68" s="69"/>
      <c r="I68" s="69"/>
      <c r="J68" s="69">
        <v>142917.6</v>
      </c>
      <c r="K68" s="69">
        <f>+H68+I68+J68</f>
        <v>142917.6</v>
      </c>
      <c r="L68" s="69">
        <f>+G68-K68</f>
        <v>-103727.6</v>
      </c>
      <c r="M68" s="161"/>
    </row>
    <row r="69" spans="1:14" ht="15.75">
      <c r="A69" s="44"/>
      <c r="B69" s="44"/>
      <c r="C69" s="51"/>
      <c r="D69" s="44"/>
      <c r="E69" s="44"/>
      <c r="F69" s="65"/>
      <c r="G69" s="67"/>
      <c r="H69" s="69"/>
      <c r="I69" s="69"/>
      <c r="J69" s="69"/>
      <c r="K69" s="69"/>
      <c r="L69" s="69"/>
      <c r="M69" s="161"/>
    </row>
    <row r="70" spans="1:14" ht="16.5" thickBot="1">
      <c r="A70" s="44">
        <v>2</v>
      </c>
      <c r="B70" s="44">
        <v>2</v>
      </c>
      <c r="C70" s="51">
        <v>4</v>
      </c>
      <c r="D70" s="44"/>
      <c r="E70" s="44"/>
      <c r="F70" s="63" t="s">
        <v>52</v>
      </c>
      <c r="G70" s="54">
        <f t="shared" ref="G70:K70" si="15">G71+G72</f>
        <v>309000</v>
      </c>
      <c r="H70" s="64">
        <f>H71+H72</f>
        <v>3350</v>
      </c>
      <c r="I70" s="64">
        <f t="shared" si="15"/>
        <v>11881.9</v>
      </c>
      <c r="J70" s="64">
        <f>J71+J72</f>
        <v>14303.01</v>
      </c>
      <c r="K70" s="64">
        <f t="shared" si="15"/>
        <v>29534.91</v>
      </c>
      <c r="L70" s="64">
        <f>L71+L72</f>
        <v>279465.09000000003</v>
      </c>
      <c r="M70" s="160"/>
    </row>
    <row r="71" spans="1:14" ht="15.75">
      <c r="A71" s="44">
        <v>2</v>
      </c>
      <c r="B71" s="44">
        <v>2</v>
      </c>
      <c r="C71" s="51">
        <v>4</v>
      </c>
      <c r="D71" s="44">
        <v>1</v>
      </c>
      <c r="E71" s="44"/>
      <c r="F71" s="65" t="s">
        <v>53</v>
      </c>
      <c r="G71" s="66">
        <v>309000</v>
      </c>
      <c r="H71" s="69">
        <f>50+100+100+100+3000</f>
        <v>3350</v>
      </c>
      <c r="I71" s="69">
        <f>300+10431.9+300+150+100+100+300+100+100</f>
        <v>11881.9</v>
      </c>
      <c r="J71" s="69">
        <f>100+100+100+100+100+100+100+100+500+450+12553.01</f>
        <v>14303.01</v>
      </c>
      <c r="K71" s="69">
        <f>+H71+I71+J71</f>
        <v>29534.91</v>
      </c>
      <c r="L71" s="69">
        <f>+G71-K71</f>
        <v>279465.09000000003</v>
      </c>
      <c r="M71" s="161"/>
    </row>
    <row r="72" spans="1:14" ht="15.75">
      <c r="A72" s="44">
        <v>2</v>
      </c>
      <c r="B72" s="44">
        <v>2</v>
      </c>
      <c r="C72" s="51">
        <v>4</v>
      </c>
      <c r="D72" s="44">
        <v>3</v>
      </c>
      <c r="E72" s="44"/>
      <c r="F72" s="65" t="s">
        <v>54</v>
      </c>
      <c r="G72" s="67"/>
      <c r="H72" s="69"/>
      <c r="I72" s="69"/>
      <c r="J72" s="69"/>
      <c r="K72" s="69">
        <f>+H72+I72+J72</f>
        <v>0</v>
      </c>
      <c r="L72" s="69">
        <f>+G72-K72</f>
        <v>0</v>
      </c>
      <c r="M72" s="161"/>
    </row>
    <row r="73" spans="1:14" ht="15.75">
      <c r="A73" s="44"/>
      <c r="B73" s="44"/>
      <c r="C73" s="51"/>
      <c r="D73" s="44"/>
      <c r="E73" s="44"/>
      <c r="F73" s="65"/>
      <c r="G73" s="67"/>
      <c r="H73" s="69"/>
      <c r="I73" s="69"/>
      <c r="J73" s="69"/>
      <c r="K73" s="69"/>
      <c r="L73" s="69"/>
      <c r="M73" s="161"/>
    </row>
    <row r="74" spans="1:14" ht="16.5" thickBot="1">
      <c r="A74" s="44">
        <v>2</v>
      </c>
      <c r="B74" s="44">
        <v>2</v>
      </c>
      <c r="C74" s="51">
        <v>5</v>
      </c>
      <c r="D74" s="44"/>
      <c r="E74" s="44"/>
      <c r="F74" s="63" t="s">
        <v>55</v>
      </c>
      <c r="G74" s="54">
        <f>G75+G80</f>
        <v>10769766</v>
      </c>
      <c r="H74" s="55">
        <f>H77+H75</f>
        <v>852057</v>
      </c>
      <c r="I74" s="55">
        <f>I77+I75</f>
        <v>862026.98</v>
      </c>
      <c r="J74" s="55">
        <f>J77+J75</f>
        <v>868871.03999999992</v>
      </c>
      <c r="K74" s="55">
        <f>K77+K75</f>
        <v>2582955.02</v>
      </c>
      <c r="L74" s="55">
        <f>L77+L75</f>
        <v>8186810.9800000004</v>
      </c>
      <c r="M74" s="160"/>
    </row>
    <row r="75" spans="1:14" ht="15.75">
      <c r="A75" s="44">
        <v>2</v>
      </c>
      <c r="B75" s="44">
        <v>2</v>
      </c>
      <c r="C75" s="51">
        <v>5</v>
      </c>
      <c r="D75" s="44">
        <v>1</v>
      </c>
      <c r="E75" s="44"/>
      <c r="F75" s="58" t="s">
        <v>56</v>
      </c>
      <c r="G75" s="66">
        <v>10423558</v>
      </c>
      <c r="H75" s="68">
        <v>843797</v>
      </c>
      <c r="I75" s="68">
        <f>835591.47+18175.51</f>
        <v>853766.98</v>
      </c>
      <c r="J75" s="68">
        <f>18321.21+842289.83</f>
        <v>860611.03999999992</v>
      </c>
      <c r="K75" s="68">
        <f>+H75+I75+J75</f>
        <v>2558175.02</v>
      </c>
      <c r="L75" s="68">
        <f>+G75-K75</f>
        <v>7865382.9800000004</v>
      </c>
      <c r="M75" s="161"/>
    </row>
    <row r="76" spans="1:14" ht="15.75">
      <c r="A76" s="44"/>
      <c r="B76" s="44"/>
      <c r="C76" s="51"/>
      <c r="D76" s="44"/>
      <c r="E76" s="77"/>
      <c r="F76" s="65"/>
      <c r="G76" s="67"/>
      <c r="H76" s="69"/>
      <c r="I76" s="69"/>
      <c r="J76" s="69"/>
      <c r="K76" s="69"/>
      <c r="L76" s="69"/>
      <c r="M76" s="161"/>
    </row>
    <row r="77" spans="1:14" ht="16.5" thickBot="1">
      <c r="A77" s="44">
        <v>2</v>
      </c>
      <c r="B77" s="44">
        <v>2</v>
      </c>
      <c r="C77" s="51">
        <v>5</v>
      </c>
      <c r="D77" s="44">
        <v>3</v>
      </c>
      <c r="E77" s="52"/>
      <c r="F77" s="63" t="s">
        <v>57</v>
      </c>
      <c r="G77" s="54">
        <f t="shared" ref="G77:K77" si="16">G78+G79+G80</f>
        <v>346208</v>
      </c>
      <c r="H77" s="64">
        <f>H78+H79+H80</f>
        <v>8260</v>
      </c>
      <c r="I77" s="64">
        <f t="shared" si="16"/>
        <v>8260</v>
      </c>
      <c r="J77" s="64">
        <f>J78+J79+J80</f>
        <v>8260</v>
      </c>
      <c r="K77" s="64">
        <f t="shared" si="16"/>
        <v>24780</v>
      </c>
      <c r="L77" s="64">
        <f>L78+L79+L80</f>
        <v>321428</v>
      </c>
      <c r="M77" s="160"/>
    </row>
    <row r="78" spans="1:14" ht="15.75">
      <c r="A78" s="44">
        <v>2</v>
      </c>
      <c r="B78" s="44">
        <v>2</v>
      </c>
      <c r="C78" s="51">
        <v>5</v>
      </c>
      <c r="D78" s="44">
        <v>3</v>
      </c>
      <c r="E78" s="44">
        <v>2</v>
      </c>
      <c r="F78" s="58" t="s">
        <v>58</v>
      </c>
      <c r="G78" s="66"/>
      <c r="H78" s="69">
        <v>0</v>
      </c>
      <c r="I78" s="69"/>
      <c r="J78" s="69"/>
      <c r="K78" s="69">
        <f>+H78+I78+J78</f>
        <v>0</v>
      </c>
      <c r="L78" s="69">
        <f>+G78-K78</f>
        <v>0</v>
      </c>
      <c r="M78" s="161"/>
    </row>
    <row r="79" spans="1:14" s="12" customFormat="1" ht="15.75">
      <c r="A79" s="44">
        <v>2</v>
      </c>
      <c r="B79" s="44">
        <v>2</v>
      </c>
      <c r="C79" s="51">
        <v>5</v>
      </c>
      <c r="D79" s="44">
        <v>3</v>
      </c>
      <c r="E79" s="44">
        <v>3</v>
      </c>
      <c r="F79" s="58" t="s">
        <v>59</v>
      </c>
      <c r="G79" s="67"/>
      <c r="H79" s="69"/>
      <c r="I79" s="69"/>
      <c r="J79" s="69"/>
      <c r="K79" s="69">
        <f>+H79+I79+J79</f>
        <v>0</v>
      </c>
      <c r="L79" s="69">
        <f>+G79-K79</f>
        <v>0</v>
      </c>
      <c r="M79" s="161"/>
      <c r="N79" s="196"/>
    </row>
    <row r="80" spans="1:14" ht="31.5">
      <c r="A80" s="44">
        <v>2</v>
      </c>
      <c r="B80" s="44">
        <v>2</v>
      </c>
      <c r="C80" s="51">
        <v>5</v>
      </c>
      <c r="D80" s="44">
        <v>3</v>
      </c>
      <c r="E80" s="44">
        <v>4</v>
      </c>
      <c r="F80" s="58" t="s">
        <v>60</v>
      </c>
      <c r="G80" s="67">
        <v>346208</v>
      </c>
      <c r="H80" s="69">
        <v>8260</v>
      </c>
      <c r="I80" s="69">
        <v>8260</v>
      </c>
      <c r="J80" s="69">
        <v>8260</v>
      </c>
      <c r="K80" s="69">
        <f>+H80+I80+J80</f>
        <v>24780</v>
      </c>
      <c r="L80" s="69">
        <f>+G80-K80</f>
        <v>321428</v>
      </c>
      <c r="M80" s="161"/>
    </row>
    <row r="81" spans="1:13" ht="16.5" thickBot="1">
      <c r="A81" s="44"/>
      <c r="B81" s="44"/>
      <c r="C81" s="51"/>
      <c r="D81" s="44"/>
      <c r="E81" s="44"/>
      <c r="F81" s="58"/>
      <c r="G81" s="67"/>
      <c r="H81" s="69"/>
      <c r="I81" s="69"/>
      <c r="J81" s="69"/>
      <c r="K81" s="69"/>
      <c r="L81" s="69"/>
      <c r="M81" s="161"/>
    </row>
    <row r="82" spans="1:13" ht="16.5" thickBot="1">
      <c r="A82" s="44">
        <v>2</v>
      </c>
      <c r="B82" s="44">
        <v>2</v>
      </c>
      <c r="C82" s="51">
        <v>6</v>
      </c>
      <c r="D82" s="44"/>
      <c r="E82" s="44"/>
      <c r="F82" s="58" t="s">
        <v>61</v>
      </c>
      <c r="G82" s="71">
        <f t="shared" ref="G82:L82" si="17">G84+G83</f>
        <v>1955017</v>
      </c>
      <c r="H82" s="72">
        <f>H84+H83</f>
        <v>125469</v>
      </c>
      <c r="I82" s="72">
        <f>I84+I83</f>
        <v>225520.55</v>
      </c>
      <c r="J82" s="72">
        <f>J84+J83</f>
        <v>157247.95000000001</v>
      </c>
      <c r="K82" s="72">
        <f t="shared" si="17"/>
        <v>508237.5</v>
      </c>
      <c r="L82" s="72">
        <f t="shared" si="17"/>
        <v>1446779.5</v>
      </c>
      <c r="M82" s="160"/>
    </row>
    <row r="83" spans="1:13" ht="16.5" thickBot="1">
      <c r="A83" s="78">
        <v>2</v>
      </c>
      <c r="B83" s="78">
        <v>2</v>
      </c>
      <c r="C83" s="79">
        <v>6</v>
      </c>
      <c r="D83" s="78">
        <v>2</v>
      </c>
      <c r="E83" s="78">
        <v>1</v>
      </c>
      <c r="F83" s="80" t="s">
        <v>62</v>
      </c>
      <c r="G83" s="81">
        <v>203017</v>
      </c>
      <c r="H83" s="81"/>
      <c r="I83" s="81">
        <v>18085.88</v>
      </c>
      <c r="J83" s="81"/>
      <c r="K83" s="81">
        <f>+H83+I83+J83</f>
        <v>18085.88</v>
      </c>
      <c r="L83" s="81">
        <f>+G83-K83</f>
        <v>184931.12</v>
      </c>
      <c r="M83" s="166"/>
    </row>
    <row r="84" spans="1:13" ht="15.75">
      <c r="A84" s="44">
        <v>2</v>
      </c>
      <c r="B84" s="44">
        <v>2</v>
      </c>
      <c r="C84" s="51">
        <v>6</v>
      </c>
      <c r="D84" s="44">
        <v>3</v>
      </c>
      <c r="E84" s="44">
        <v>1</v>
      </c>
      <c r="F84" s="58" t="s">
        <v>63</v>
      </c>
      <c r="G84" s="67">
        <v>1752000</v>
      </c>
      <c r="H84" s="69">
        <v>125469</v>
      </c>
      <c r="I84" s="69">
        <f>40924.8+23071.95+17052+126385.92</f>
        <v>207434.66999999998</v>
      </c>
      <c r="J84" s="69">
        <v>157247.95000000001</v>
      </c>
      <c r="K84" s="69">
        <f>+H84+I84+J84</f>
        <v>490151.62</v>
      </c>
      <c r="L84" s="69">
        <f>+G84-K84</f>
        <v>1261848.3799999999</v>
      </c>
      <c r="M84" s="161"/>
    </row>
    <row r="85" spans="1:13" ht="15.75">
      <c r="A85" s="44"/>
      <c r="B85" s="44"/>
      <c r="C85" s="51"/>
      <c r="D85" s="44"/>
      <c r="E85" s="44"/>
      <c r="F85" s="58"/>
      <c r="G85" s="67"/>
      <c r="H85" s="69">
        <v>0</v>
      </c>
      <c r="I85" s="69"/>
      <c r="J85" s="69"/>
      <c r="K85" s="69"/>
      <c r="L85" s="69">
        <v>0</v>
      </c>
      <c r="M85" s="161"/>
    </row>
    <row r="86" spans="1:13" ht="32.25" thickBot="1">
      <c r="A86" s="44">
        <v>2</v>
      </c>
      <c r="B86" s="44">
        <v>2</v>
      </c>
      <c r="C86" s="51">
        <v>7</v>
      </c>
      <c r="D86" s="44"/>
      <c r="E86" s="52"/>
      <c r="F86" s="63" t="s">
        <v>64</v>
      </c>
      <c r="G86" s="83">
        <f>G87</f>
        <v>370000</v>
      </c>
      <c r="H86" s="55">
        <f>SUM(H88:H92)</f>
        <v>2600</v>
      </c>
      <c r="I86" s="55">
        <f>SUM(I88:I92)</f>
        <v>37264.089999999997</v>
      </c>
      <c r="J86" s="55">
        <f>SUM(J88:J92)</f>
        <v>18555.580000000002</v>
      </c>
      <c r="K86" s="55">
        <f>SUM(K88:K92)</f>
        <v>58419.67</v>
      </c>
      <c r="L86" s="55">
        <f>SUM(L88:L92)</f>
        <v>311580.33</v>
      </c>
      <c r="M86" s="160"/>
    </row>
    <row r="87" spans="1:13" ht="32.25" thickBot="1">
      <c r="A87" s="44">
        <v>2</v>
      </c>
      <c r="B87" s="44">
        <v>2</v>
      </c>
      <c r="C87" s="51">
        <v>7</v>
      </c>
      <c r="D87" s="44">
        <v>2</v>
      </c>
      <c r="E87" s="52"/>
      <c r="F87" s="63" t="s">
        <v>65</v>
      </c>
      <c r="G87" s="71">
        <f>SUM(G89:G92)</f>
        <v>370000</v>
      </c>
      <c r="H87" s="120">
        <f>SUM(H88:H92)</f>
        <v>2600</v>
      </c>
      <c r="I87" s="120">
        <f>SUM(I88:I92)</f>
        <v>37264.089999999997</v>
      </c>
      <c r="J87" s="120">
        <f>SUM(J88:J92)</f>
        <v>18555.580000000002</v>
      </c>
      <c r="K87" s="120">
        <f>SUM(K88:K92)</f>
        <v>58419.67</v>
      </c>
      <c r="L87" s="120">
        <f>SUM(L88:L92)</f>
        <v>311580.33</v>
      </c>
      <c r="M87" s="167"/>
    </row>
    <row r="88" spans="1:13" ht="31.5">
      <c r="A88" s="44">
        <v>2</v>
      </c>
      <c r="B88" s="44">
        <v>2</v>
      </c>
      <c r="C88" s="51">
        <v>7</v>
      </c>
      <c r="D88" s="44">
        <v>1</v>
      </c>
      <c r="E88" s="77">
        <v>2</v>
      </c>
      <c r="F88" s="84" t="s">
        <v>66</v>
      </c>
      <c r="G88" s="83"/>
      <c r="H88" s="121"/>
      <c r="I88" s="121"/>
      <c r="J88" s="121">
        <v>12390</v>
      </c>
      <c r="K88" s="121">
        <f>+H88+I88+J88</f>
        <v>12390</v>
      </c>
      <c r="L88" s="82">
        <f>-G88-K88</f>
        <v>-12390</v>
      </c>
      <c r="M88" s="167"/>
    </row>
    <row r="89" spans="1:13" ht="31.5">
      <c r="A89" s="44">
        <v>2</v>
      </c>
      <c r="B89" s="44">
        <v>2</v>
      </c>
      <c r="C89" s="51">
        <v>7</v>
      </c>
      <c r="D89" s="44">
        <v>2</v>
      </c>
      <c r="E89" s="77">
        <v>2</v>
      </c>
      <c r="F89" s="84" t="s">
        <v>67</v>
      </c>
      <c r="G89" s="67">
        <v>70000</v>
      </c>
      <c r="H89" s="69">
        <v>0</v>
      </c>
      <c r="I89" s="69"/>
      <c r="J89" s="69"/>
      <c r="K89" s="69">
        <f>+H89+I89+J89</f>
        <v>0</v>
      </c>
      <c r="L89" s="82">
        <f>+G89-K89</f>
        <v>70000</v>
      </c>
      <c r="M89" s="161"/>
    </row>
    <row r="90" spans="1:13" ht="31.5">
      <c r="A90" s="44">
        <v>2</v>
      </c>
      <c r="B90" s="44">
        <v>2</v>
      </c>
      <c r="C90" s="51">
        <v>7</v>
      </c>
      <c r="D90" s="44">
        <v>2</v>
      </c>
      <c r="E90" s="77">
        <v>3</v>
      </c>
      <c r="F90" s="84" t="s">
        <v>68</v>
      </c>
      <c r="G90" s="67"/>
      <c r="H90" s="69">
        <f>G90*12</f>
        <v>0</v>
      </c>
      <c r="I90" s="69"/>
      <c r="J90" s="69"/>
      <c r="K90" s="69">
        <f t="shared" ref="K90:K91" si="18">+H90+I90+J90</f>
        <v>0</v>
      </c>
      <c r="L90" s="82">
        <f>+G90-K90</f>
        <v>0</v>
      </c>
      <c r="M90" s="161"/>
    </row>
    <row r="91" spans="1:13" ht="31.5">
      <c r="A91" s="44">
        <v>2</v>
      </c>
      <c r="B91" s="44">
        <v>2</v>
      </c>
      <c r="C91" s="51">
        <v>7</v>
      </c>
      <c r="D91" s="44">
        <v>2</v>
      </c>
      <c r="E91" s="77">
        <v>4</v>
      </c>
      <c r="F91" s="84" t="s">
        <v>69</v>
      </c>
      <c r="G91" s="67">
        <v>100000</v>
      </c>
      <c r="H91" s="69"/>
      <c r="I91" s="69"/>
      <c r="J91" s="69"/>
      <c r="K91" s="69">
        <f t="shared" si="18"/>
        <v>0</v>
      </c>
      <c r="L91" s="82">
        <f>+G91-K91</f>
        <v>100000</v>
      </c>
      <c r="M91" s="161"/>
    </row>
    <row r="92" spans="1:13" ht="31.5">
      <c r="A92" s="44">
        <v>2</v>
      </c>
      <c r="B92" s="44">
        <v>2</v>
      </c>
      <c r="C92" s="51">
        <v>7</v>
      </c>
      <c r="D92" s="44">
        <v>2</v>
      </c>
      <c r="E92" s="77">
        <v>6</v>
      </c>
      <c r="F92" s="84" t="s">
        <v>70</v>
      </c>
      <c r="G92" s="67">
        <v>200000</v>
      </c>
      <c r="H92" s="69">
        <f>1300+100+550+100+550</f>
        <v>2600</v>
      </c>
      <c r="I92" s="69">
        <f>9595.98+18218.11+1500+7000+300+100+550</f>
        <v>37264.089999999997</v>
      </c>
      <c r="J92" s="69">
        <f>700+4765.58+700</f>
        <v>6165.58</v>
      </c>
      <c r="K92" s="69">
        <f>+H92+I92+J92</f>
        <v>46029.67</v>
      </c>
      <c r="L92" s="82">
        <f>+G92-K92</f>
        <v>153970.33000000002</v>
      </c>
      <c r="M92" s="161"/>
    </row>
    <row r="93" spans="1:13" ht="15.75">
      <c r="A93" s="44"/>
      <c r="B93" s="44"/>
      <c r="C93" s="51"/>
      <c r="D93" s="44"/>
      <c r="E93" s="77"/>
      <c r="F93" s="65"/>
      <c r="G93" s="67"/>
      <c r="H93" s="69"/>
      <c r="I93" s="69"/>
      <c r="J93" s="69"/>
      <c r="K93" s="69"/>
      <c r="L93" s="69"/>
      <c r="M93" s="161"/>
    </row>
    <row r="94" spans="1:13" ht="16.5" thickBot="1">
      <c r="A94" s="44">
        <v>2</v>
      </c>
      <c r="B94" s="44">
        <v>2</v>
      </c>
      <c r="C94" s="51">
        <v>8</v>
      </c>
      <c r="D94" s="44"/>
      <c r="E94" s="52"/>
      <c r="F94" s="63" t="s">
        <v>71</v>
      </c>
      <c r="G94" s="83">
        <f>SUM(G95+G96)+G98+G103</f>
        <v>3179720</v>
      </c>
      <c r="H94" s="55">
        <f>H95+H96+H98+H103</f>
        <v>1717783.27</v>
      </c>
      <c r="I94" s="55">
        <f>I95+I96+I98+I103</f>
        <v>451655.91</v>
      </c>
      <c r="J94" s="55">
        <f>J95+J96+J98+J103</f>
        <v>1737353.07</v>
      </c>
      <c r="K94" s="55">
        <f>K95+K96+K98+K103</f>
        <v>3906792.2499999995</v>
      </c>
      <c r="L94" s="55">
        <f>L95+L96+L98+L103</f>
        <v>-727072.24999999977</v>
      </c>
      <c r="M94" s="160"/>
    </row>
    <row r="95" spans="1:13" ht="15.75">
      <c r="A95" s="44">
        <v>2</v>
      </c>
      <c r="B95" s="44">
        <v>2</v>
      </c>
      <c r="C95" s="51">
        <v>8</v>
      </c>
      <c r="D95" s="44">
        <v>2</v>
      </c>
      <c r="E95" s="77"/>
      <c r="F95" s="85" t="s">
        <v>72</v>
      </c>
      <c r="G95" s="66">
        <v>111600</v>
      </c>
      <c r="H95" s="68">
        <f>60+60+7601</f>
        <v>7721</v>
      </c>
      <c r="I95" s="68">
        <f>60+60+60+11879.99</f>
        <v>12059.99</v>
      </c>
      <c r="J95" s="68">
        <f>60+60+7302.04</f>
        <v>7422.04</v>
      </c>
      <c r="K95" s="68">
        <f>+H95+I95+J95</f>
        <v>27203.03</v>
      </c>
      <c r="L95" s="68">
        <f>+G95-K95</f>
        <v>84396.97</v>
      </c>
      <c r="M95" s="161"/>
    </row>
    <row r="96" spans="1:13" ht="15.75">
      <c r="A96" s="44">
        <v>2</v>
      </c>
      <c r="B96" s="44">
        <v>2</v>
      </c>
      <c r="C96" s="51">
        <v>8</v>
      </c>
      <c r="D96" s="44">
        <v>4</v>
      </c>
      <c r="E96" s="44"/>
      <c r="F96" s="85" t="s">
        <v>73</v>
      </c>
      <c r="G96" s="67">
        <v>0</v>
      </c>
      <c r="H96" s="69">
        <v>0</v>
      </c>
      <c r="I96" s="69"/>
      <c r="J96" s="69"/>
      <c r="K96" s="69"/>
      <c r="L96" s="69">
        <f>+G96-H96-I96</f>
        <v>0</v>
      </c>
      <c r="M96" s="161"/>
    </row>
    <row r="97" spans="1:14" ht="15.75">
      <c r="A97" s="44"/>
      <c r="B97" s="44"/>
      <c r="C97" s="51"/>
      <c r="D97" s="44"/>
      <c r="E97" s="44"/>
      <c r="F97" s="85"/>
      <c r="G97" s="67"/>
      <c r="H97" s="69"/>
      <c r="I97" s="69"/>
      <c r="J97" s="69"/>
      <c r="K97" s="69"/>
      <c r="L97" s="69"/>
      <c r="M97" s="161"/>
    </row>
    <row r="98" spans="1:14" ht="32.25" thickBot="1">
      <c r="A98" s="44">
        <v>2</v>
      </c>
      <c r="B98" s="44">
        <v>2</v>
      </c>
      <c r="C98" s="51">
        <v>8</v>
      </c>
      <c r="D98" s="44">
        <v>6</v>
      </c>
      <c r="E98" s="52"/>
      <c r="F98" s="86" t="s">
        <v>74</v>
      </c>
      <c r="G98" s="83">
        <f>G99+G100</f>
        <v>1332334</v>
      </c>
      <c r="H98" s="75">
        <f>H99+H100+H101</f>
        <v>436665.85</v>
      </c>
      <c r="I98" s="75">
        <f>I99+I100+I101</f>
        <v>16986</v>
      </c>
      <c r="J98" s="75">
        <f>J99+J100+J101</f>
        <v>6981.54</v>
      </c>
      <c r="K98" s="75">
        <f>K99+K100+K101</f>
        <v>460633.39</v>
      </c>
      <c r="L98" s="75">
        <f>L99+L100+L101</f>
        <v>871700.6100000001</v>
      </c>
      <c r="M98" s="161"/>
    </row>
    <row r="99" spans="1:14" ht="15.75">
      <c r="A99" s="44">
        <v>2</v>
      </c>
      <c r="B99" s="44">
        <v>2</v>
      </c>
      <c r="C99" s="51">
        <v>8</v>
      </c>
      <c r="D99" s="44">
        <v>6</v>
      </c>
      <c r="E99" s="44">
        <v>1</v>
      </c>
      <c r="F99" s="85" t="s">
        <v>75</v>
      </c>
      <c r="G99" s="149">
        <v>1182334</v>
      </c>
      <c r="H99" s="68">
        <v>0</v>
      </c>
      <c r="I99" s="68"/>
      <c r="J99" s="68"/>
      <c r="K99" s="68">
        <f>+H99+I99+J99</f>
        <v>0</v>
      </c>
      <c r="L99" s="68">
        <f>+G99-K99</f>
        <v>1182334</v>
      </c>
      <c r="M99" s="161"/>
    </row>
    <row r="100" spans="1:14" ht="15.75">
      <c r="A100" s="44">
        <v>2</v>
      </c>
      <c r="B100" s="44">
        <v>2</v>
      </c>
      <c r="C100" s="51">
        <v>8</v>
      </c>
      <c r="D100" s="44">
        <v>6</v>
      </c>
      <c r="E100" s="44">
        <v>2</v>
      </c>
      <c r="F100" s="85" t="s">
        <v>76</v>
      </c>
      <c r="G100" s="67">
        <v>150000</v>
      </c>
      <c r="H100" s="69">
        <v>3799.85</v>
      </c>
      <c r="I100" s="69">
        <f>11900+826+2900+1360</f>
        <v>16986</v>
      </c>
      <c r="J100" s="69">
        <f>4761.54+670+1550</f>
        <v>6981.54</v>
      </c>
      <c r="K100" s="69">
        <f>+H100+I100+J100</f>
        <v>27767.39</v>
      </c>
      <c r="L100" s="69">
        <f>+G100-K100</f>
        <v>122232.61</v>
      </c>
      <c r="M100" s="161"/>
      <c r="N100" s="183"/>
    </row>
    <row r="101" spans="1:14" ht="15.75">
      <c r="A101" s="44">
        <v>2</v>
      </c>
      <c r="B101" s="44">
        <v>2</v>
      </c>
      <c r="C101" s="51">
        <v>8</v>
      </c>
      <c r="D101" s="44">
        <v>6</v>
      </c>
      <c r="E101" s="44">
        <v>3</v>
      </c>
      <c r="F101" s="85" t="s">
        <v>148</v>
      </c>
      <c r="G101" s="67"/>
      <c r="H101" s="69">
        <f>427556+5310</f>
        <v>432866</v>
      </c>
      <c r="I101" s="69"/>
      <c r="J101" s="69"/>
      <c r="K101" s="69">
        <f>+H101+I101+J101</f>
        <v>432866</v>
      </c>
      <c r="L101" s="69">
        <f>+G101-K101</f>
        <v>-432866</v>
      </c>
      <c r="M101" s="161"/>
    </row>
    <row r="102" spans="1:14" ht="15.75">
      <c r="A102" s="44"/>
      <c r="B102" s="44"/>
      <c r="C102" s="51"/>
      <c r="D102" s="44"/>
      <c r="E102" s="44"/>
      <c r="F102" s="85"/>
      <c r="G102" s="67"/>
      <c r="H102" s="69">
        <v>0</v>
      </c>
      <c r="I102" s="69"/>
      <c r="J102" s="69"/>
      <c r="K102" s="69"/>
      <c r="L102" s="69">
        <v>0</v>
      </c>
      <c r="M102" s="161"/>
    </row>
    <row r="103" spans="1:14" ht="15.75">
      <c r="A103" s="44">
        <v>2</v>
      </c>
      <c r="B103" s="44">
        <v>2</v>
      </c>
      <c r="C103" s="51">
        <v>8</v>
      </c>
      <c r="D103" s="44">
        <v>7</v>
      </c>
      <c r="E103" s="52"/>
      <c r="F103" s="86" t="s">
        <v>77</v>
      </c>
      <c r="G103" s="87">
        <f t="shared" ref="G103:L103" si="19">G104+G105+G106+G107+G108</f>
        <v>1735786</v>
      </c>
      <c r="H103" s="76">
        <f>H104+H105+H106+H107+H108</f>
        <v>1273396.42</v>
      </c>
      <c r="I103" s="76">
        <f t="shared" si="19"/>
        <v>422609.91999999998</v>
      </c>
      <c r="J103" s="76">
        <f>J104+J105+J106+J107+J108</f>
        <v>1722949.49</v>
      </c>
      <c r="K103" s="76">
        <f t="shared" si="19"/>
        <v>3418955.8299999996</v>
      </c>
      <c r="L103" s="76">
        <f t="shared" si="19"/>
        <v>-1683169.8299999998</v>
      </c>
      <c r="M103" s="160"/>
    </row>
    <row r="104" spans="1:14" ht="15.75">
      <c r="A104" s="44">
        <v>2</v>
      </c>
      <c r="B104" s="44">
        <v>2</v>
      </c>
      <c r="C104" s="51">
        <v>8</v>
      </c>
      <c r="D104" s="44">
        <v>7</v>
      </c>
      <c r="E104" s="44">
        <v>1</v>
      </c>
      <c r="F104" s="65" t="s">
        <v>78</v>
      </c>
      <c r="G104" s="67">
        <v>326769</v>
      </c>
      <c r="H104" s="69">
        <v>0</v>
      </c>
      <c r="I104" s="69"/>
      <c r="J104" s="69"/>
      <c r="K104" s="69">
        <f>+H104+I104+J104</f>
        <v>0</v>
      </c>
      <c r="L104" s="69">
        <f>+G104-K104</f>
        <v>326769</v>
      </c>
      <c r="M104" s="161"/>
    </row>
    <row r="105" spans="1:14" ht="15.75">
      <c r="A105" s="44">
        <v>2</v>
      </c>
      <c r="B105" s="44">
        <v>2</v>
      </c>
      <c r="C105" s="51">
        <v>8</v>
      </c>
      <c r="D105" s="44">
        <v>7</v>
      </c>
      <c r="E105" s="77">
        <v>3</v>
      </c>
      <c r="F105" s="65" t="s">
        <v>79</v>
      </c>
      <c r="G105" s="67">
        <v>300000</v>
      </c>
      <c r="H105" s="69"/>
      <c r="I105" s="69"/>
      <c r="J105" s="69"/>
      <c r="K105" s="69">
        <f>+H105+I105+J105</f>
        <v>0</v>
      </c>
      <c r="L105" s="69">
        <f>+G105-K105</f>
        <v>300000</v>
      </c>
      <c r="M105" s="161"/>
      <c r="N105" s="183"/>
    </row>
    <row r="106" spans="1:14" ht="15.75">
      <c r="A106" s="44">
        <v>2</v>
      </c>
      <c r="B106" s="44">
        <v>2</v>
      </c>
      <c r="C106" s="51">
        <v>8</v>
      </c>
      <c r="D106" s="44">
        <v>7</v>
      </c>
      <c r="E106" s="44">
        <v>4</v>
      </c>
      <c r="F106" s="65" t="s">
        <v>80</v>
      </c>
      <c r="G106" s="67">
        <v>50000</v>
      </c>
      <c r="H106" s="69">
        <v>11800</v>
      </c>
      <c r="I106" s="69"/>
      <c r="J106" s="69"/>
      <c r="K106" s="69">
        <f>+H106+I106+J106</f>
        <v>11800</v>
      </c>
      <c r="L106" s="69">
        <f>+G106-K106</f>
        <v>38200</v>
      </c>
      <c r="M106" s="161"/>
    </row>
    <row r="107" spans="1:14" ht="31.5">
      <c r="A107" s="44">
        <v>2</v>
      </c>
      <c r="B107" s="44">
        <v>2</v>
      </c>
      <c r="C107" s="51">
        <v>8</v>
      </c>
      <c r="D107" s="44">
        <v>7</v>
      </c>
      <c r="E107" s="44">
        <v>5</v>
      </c>
      <c r="F107" s="65" t="s">
        <v>81</v>
      </c>
      <c r="G107" s="67">
        <v>275023</v>
      </c>
      <c r="H107" s="69"/>
      <c r="I107" s="69">
        <v>10286</v>
      </c>
      <c r="J107" s="69">
        <v>59549.57</v>
      </c>
      <c r="K107" s="69">
        <f>+H107+I107+J107</f>
        <v>69835.570000000007</v>
      </c>
      <c r="L107" s="69">
        <f>+G107-K107</f>
        <v>205187.43</v>
      </c>
      <c r="M107" s="161"/>
      <c r="N107" s="183"/>
    </row>
    <row r="108" spans="1:14" ht="15.75">
      <c r="A108" s="44">
        <v>2</v>
      </c>
      <c r="B108" s="44">
        <v>2</v>
      </c>
      <c r="C108" s="51">
        <v>8</v>
      </c>
      <c r="D108" s="44">
        <v>7</v>
      </c>
      <c r="E108" s="44">
        <v>6</v>
      </c>
      <c r="F108" s="65" t="s">
        <v>82</v>
      </c>
      <c r="G108" s="67">
        <v>783994</v>
      </c>
      <c r="H108" s="69">
        <f>47200+14750+21240+38150+31498.92+232932+436600+144225.5+295000</f>
        <v>1261596.42</v>
      </c>
      <c r="I108" s="69">
        <f>64900+144225+600+31498.92+171100</f>
        <v>412323.92</v>
      </c>
      <c r="J108" s="69">
        <f>400+400+400+660800+171100+118000+144225.5+31498.92+217267.5+53100+266208</f>
        <v>1663399.92</v>
      </c>
      <c r="K108" s="69">
        <f>+H108+I108+J108</f>
        <v>3337320.26</v>
      </c>
      <c r="L108" s="69">
        <f>+G108-K108</f>
        <v>-2553326.2599999998</v>
      </c>
      <c r="M108" s="161"/>
    </row>
    <row r="109" spans="1:14" ht="16.5" thickBot="1">
      <c r="A109" s="44"/>
      <c r="B109" s="44"/>
      <c r="C109" s="51"/>
      <c r="D109" s="44"/>
      <c r="E109" s="44"/>
      <c r="F109" s="65"/>
      <c r="G109" s="70"/>
      <c r="H109" s="75"/>
      <c r="I109" s="75"/>
      <c r="J109" s="75"/>
      <c r="K109" s="75"/>
      <c r="L109" s="75"/>
      <c r="M109" s="161"/>
    </row>
    <row r="110" spans="1:14" ht="16.5" thickBot="1">
      <c r="A110" s="44">
        <v>2</v>
      </c>
      <c r="B110" s="44">
        <v>2</v>
      </c>
      <c r="C110" s="51">
        <v>9</v>
      </c>
      <c r="D110" s="44"/>
      <c r="E110" s="44"/>
      <c r="F110" s="63" t="s">
        <v>83</v>
      </c>
      <c r="G110" s="59">
        <f t="shared" ref="G110:L110" si="20">G111+G112</f>
        <v>180000</v>
      </c>
      <c r="H110" s="122">
        <f>H111+H112</f>
        <v>81827.16</v>
      </c>
      <c r="I110" s="122">
        <f t="shared" si="20"/>
        <v>7375.4</v>
      </c>
      <c r="J110" s="122">
        <f>J111+J112</f>
        <v>11890.140000000001</v>
      </c>
      <c r="K110" s="122">
        <f t="shared" si="20"/>
        <v>101092.7</v>
      </c>
      <c r="L110" s="122">
        <f t="shared" si="20"/>
        <v>78907.3</v>
      </c>
      <c r="M110" s="167"/>
    </row>
    <row r="111" spans="1:14" ht="16.5" thickBot="1">
      <c r="A111" s="44">
        <v>2</v>
      </c>
      <c r="B111" s="44">
        <v>2</v>
      </c>
      <c r="C111" s="51">
        <v>9</v>
      </c>
      <c r="D111" s="44">
        <v>2</v>
      </c>
      <c r="E111" s="44"/>
      <c r="F111" s="85" t="s">
        <v>84</v>
      </c>
      <c r="G111" s="56"/>
      <c r="H111" s="88"/>
      <c r="I111" s="88"/>
      <c r="J111" s="88"/>
      <c r="K111" s="88"/>
      <c r="L111" s="88"/>
      <c r="M111" s="168"/>
    </row>
    <row r="112" spans="1:14" ht="15.75">
      <c r="A112" s="44">
        <v>2</v>
      </c>
      <c r="B112" s="44">
        <v>2</v>
      </c>
      <c r="C112" s="51">
        <v>9</v>
      </c>
      <c r="D112" s="44">
        <v>2</v>
      </c>
      <c r="E112" s="44">
        <v>1</v>
      </c>
      <c r="F112" s="65" t="s">
        <v>84</v>
      </c>
      <c r="G112" s="67">
        <v>180000</v>
      </c>
      <c r="H112" s="69">
        <f>2679+340+1804.55+272+73228.45+175+100+340+25+1049.96+410+505+898.2</f>
        <v>81827.16</v>
      </c>
      <c r="I112" s="69">
        <f>1146.75+603+204+340+50+853.75+464.9+408+3100+205</f>
        <v>7375.4</v>
      </c>
      <c r="J112" s="69">
        <f>73.95+3089.2+50+25+440+4272.05+750+45+1259.99+360+408+20+330+408+358.95</f>
        <v>11890.140000000001</v>
      </c>
      <c r="K112" s="69">
        <f>+H112+I112+J112</f>
        <v>101092.7</v>
      </c>
      <c r="L112" s="69">
        <f>+G112-K112</f>
        <v>78907.3</v>
      </c>
      <c r="M112" s="161"/>
    </row>
    <row r="113" spans="1:13" ht="15.75">
      <c r="A113" s="44"/>
      <c r="B113" s="44"/>
      <c r="C113" s="51"/>
      <c r="D113" s="44"/>
      <c r="E113" s="44"/>
      <c r="F113" s="65"/>
      <c r="G113" s="67"/>
      <c r="H113" s="69"/>
      <c r="I113" s="69"/>
      <c r="J113" s="69"/>
      <c r="K113" s="69"/>
      <c r="L113" s="69"/>
      <c r="M113" s="161"/>
    </row>
    <row r="114" spans="1:13" ht="16.5" thickBot="1">
      <c r="A114" s="44">
        <v>2</v>
      </c>
      <c r="B114" s="44">
        <v>3</v>
      </c>
      <c r="C114" s="51"/>
      <c r="D114" s="44"/>
      <c r="E114" s="52"/>
      <c r="F114" s="63" t="s">
        <v>85</v>
      </c>
      <c r="G114" s="54">
        <f t="shared" ref="G114:L114" si="21">G115+G119+G122+G128+G132+G140</f>
        <v>606500</v>
      </c>
      <c r="H114" s="119">
        <f>H115+H119+H122+H128+H132+H140</f>
        <v>26666.35</v>
      </c>
      <c r="I114" s="119">
        <f t="shared" si="21"/>
        <v>93227.65</v>
      </c>
      <c r="J114" s="119">
        <f>J115+J119+J122+J128+J132+J140</f>
        <v>8220.2999999999993</v>
      </c>
      <c r="K114" s="119">
        <f t="shared" si="21"/>
        <v>129638.29999999999</v>
      </c>
      <c r="L114" s="119">
        <f t="shared" si="21"/>
        <v>476861.69999999995</v>
      </c>
      <c r="M114" s="167"/>
    </row>
    <row r="115" spans="1:13" ht="32.25" thickBot="1">
      <c r="A115" s="44">
        <v>2</v>
      </c>
      <c r="B115" s="44">
        <v>3</v>
      </c>
      <c r="C115" s="51">
        <v>1</v>
      </c>
      <c r="D115" s="44"/>
      <c r="E115" s="52"/>
      <c r="F115" s="89" t="s">
        <v>86</v>
      </c>
      <c r="G115" s="71">
        <f>G116</f>
        <v>0</v>
      </c>
      <c r="H115" s="72">
        <f>H116</f>
        <v>0</v>
      </c>
      <c r="I115" s="72"/>
      <c r="J115" s="72"/>
      <c r="K115" s="72"/>
      <c r="L115" s="72">
        <f>L116</f>
        <v>0</v>
      </c>
      <c r="M115" s="160"/>
    </row>
    <row r="116" spans="1:13" ht="15.75">
      <c r="A116" s="44">
        <v>2</v>
      </c>
      <c r="B116" s="44">
        <v>3</v>
      </c>
      <c r="C116" s="51">
        <v>1</v>
      </c>
      <c r="D116" s="44">
        <v>1</v>
      </c>
      <c r="E116" s="52"/>
      <c r="F116" s="90" t="s">
        <v>87</v>
      </c>
      <c r="G116" s="67">
        <f>G117</f>
        <v>0</v>
      </c>
      <c r="H116" s="62"/>
      <c r="I116" s="62"/>
      <c r="J116" s="62"/>
      <c r="K116" s="62">
        <f>+H116+I116+J116</f>
        <v>0</v>
      </c>
      <c r="L116" s="62">
        <f>+G116-H116-I116</f>
        <v>0</v>
      </c>
      <c r="M116" s="168"/>
    </row>
    <row r="117" spans="1:13" ht="15.75">
      <c r="A117" s="44">
        <v>2</v>
      </c>
      <c r="B117" s="44">
        <v>3</v>
      </c>
      <c r="C117" s="51">
        <v>1</v>
      </c>
      <c r="D117" s="44">
        <v>1</v>
      </c>
      <c r="E117" s="52">
        <v>1</v>
      </c>
      <c r="F117" s="90" t="s">
        <v>87</v>
      </c>
      <c r="G117" s="67"/>
      <c r="H117" s="69">
        <v>0</v>
      </c>
      <c r="I117" s="69"/>
      <c r="J117" s="69"/>
      <c r="K117" s="69">
        <f>+H117+I117+J117</f>
        <v>0</v>
      </c>
      <c r="L117" s="69">
        <v>0</v>
      </c>
      <c r="M117" s="161"/>
    </row>
    <row r="118" spans="1:13" ht="15.75">
      <c r="A118" s="44"/>
      <c r="B118" s="44"/>
      <c r="C118" s="51"/>
      <c r="D118" s="44"/>
      <c r="E118" s="52"/>
      <c r="F118" s="89"/>
      <c r="G118" s="67"/>
      <c r="H118" s="69"/>
      <c r="I118" s="69"/>
      <c r="J118" s="69"/>
      <c r="K118" s="69"/>
      <c r="L118" s="69"/>
      <c r="M118" s="161"/>
    </row>
    <row r="119" spans="1:13" s="11" customFormat="1" ht="16.5" thickBot="1">
      <c r="A119" s="44">
        <v>2</v>
      </c>
      <c r="B119" s="44">
        <v>3</v>
      </c>
      <c r="C119" s="51">
        <v>2</v>
      </c>
      <c r="D119" s="44"/>
      <c r="E119" s="52"/>
      <c r="F119" s="89" t="s">
        <v>88</v>
      </c>
      <c r="G119" s="67"/>
      <c r="H119" s="69">
        <f>H120</f>
        <v>0</v>
      </c>
      <c r="I119" s="69">
        <f>I120</f>
        <v>4951</v>
      </c>
      <c r="J119" s="69">
        <f>J120</f>
        <v>0</v>
      </c>
      <c r="K119" s="69">
        <f>K120</f>
        <v>4951</v>
      </c>
      <c r="L119" s="69">
        <f>L120</f>
        <v>-4951</v>
      </c>
      <c r="M119" s="161"/>
    </row>
    <row r="120" spans="1:13" ht="15.75">
      <c r="A120" s="44">
        <v>2</v>
      </c>
      <c r="B120" s="44">
        <v>3</v>
      </c>
      <c r="C120" s="51">
        <v>2</v>
      </c>
      <c r="D120" s="44">
        <v>3</v>
      </c>
      <c r="E120" s="52"/>
      <c r="F120" s="90" t="s">
        <v>89</v>
      </c>
      <c r="G120" s="66"/>
      <c r="H120" s="68">
        <v>0</v>
      </c>
      <c r="I120" s="68">
        <v>4951</v>
      </c>
      <c r="J120" s="68"/>
      <c r="K120" s="68">
        <f>+H120+I120+J120</f>
        <v>4951</v>
      </c>
      <c r="L120" s="68">
        <f>+G120-K120</f>
        <v>-4951</v>
      </c>
      <c r="M120" s="161"/>
    </row>
    <row r="121" spans="1:13" ht="15.75">
      <c r="A121" s="44"/>
      <c r="B121" s="44"/>
      <c r="C121" s="51"/>
      <c r="D121" s="44"/>
      <c r="E121" s="52"/>
      <c r="F121" s="89"/>
      <c r="G121" s="67"/>
      <c r="H121" s="62"/>
      <c r="I121" s="62"/>
      <c r="J121" s="62"/>
      <c r="K121" s="62"/>
      <c r="L121" s="62"/>
      <c r="M121" s="168"/>
    </row>
    <row r="122" spans="1:13" ht="32.25" thickBot="1">
      <c r="A122" s="44">
        <v>2</v>
      </c>
      <c r="B122" s="73">
        <v>3</v>
      </c>
      <c r="C122" s="74">
        <v>3</v>
      </c>
      <c r="D122" s="52"/>
      <c r="E122" s="52"/>
      <c r="F122" s="63" t="s">
        <v>90</v>
      </c>
      <c r="G122" s="54">
        <f t="shared" ref="G122:K122" si="22">G123+G124+G125+G126</f>
        <v>101500</v>
      </c>
      <c r="H122" s="64">
        <f>H123+H124+H125+H126</f>
        <v>13764.7</v>
      </c>
      <c r="I122" s="64">
        <f t="shared" si="22"/>
        <v>14056</v>
      </c>
      <c r="J122" s="64">
        <f>J123+J124+J125+J126</f>
        <v>3191</v>
      </c>
      <c r="K122" s="64">
        <f t="shared" si="22"/>
        <v>31011.7</v>
      </c>
      <c r="L122" s="64">
        <f>L123+L124+L125+L126</f>
        <v>70488.3</v>
      </c>
      <c r="M122" s="160"/>
    </row>
    <row r="123" spans="1:13" ht="15.75">
      <c r="A123" s="44">
        <v>2</v>
      </c>
      <c r="B123" s="44">
        <v>3</v>
      </c>
      <c r="C123" s="51">
        <v>3</v>
      </c>
      <c r="D123" s="44">
        <v>1</v>
      </c>
      <c r="E123" s="44"/>
      <c r="F123" s="85" t="s">
        <v>91</v>
      </c>
      <c r="G123" s="66">
        <v>68000</v>
      </c>
      <c r="H123" s="68">
        <v>13764.7</v>
      </c>
      <c r="I123" s="68">
        <f>9+3191</f>
        <v>3200</v>
      </c>
      <c r="J123" s="68">
        <v>3191</v>
      </c>
      <c r="K123" s="68">
        <f>+H123+I123+J123</f>
        <v>20155.7</v>
      </c>
      <c r="L123" s="68">
        <f>+G123-K123</f>
        <v>47844.3</v>
      </c>
      <c r="M123" s="161"/>
    </row>
    <row r="124" spans="1:13" ht="15.75">
      <c r="A124" s="44">
        <v>2</v>
      </c>
      <c r="B124" s="44">
        <v>3</v>
      </c>
      <c r="C124" s="51">
        <v>3</v>
      </c>
      <c r="D124" s="44">
        <v>2</v>
      </c>
      <c r="E124" s="44"/>
      <c r="F124" s="85" t="s">
        <v>92</v>
      </c>
      <c r="G124" s="67">
        <v>23000</v>
      </c>
      <c r="H124" s="69">
        <v>0</v>
      </c>
      <c r="I124" s="69"/>
      <c r="J124" s="69"/>
      <c r="K124" s="69">
        <f>+H124+I124+J124</f>
        <v>0</v>
      </c>
      <c r="L124" s="69">
        <f>+G124-K124</f>
        <v>23000</v>
      </c>
      <c r="M124" s="161"/>
    </row>
    <row r="125" spans="1:13" s="15" customFormat="1" ht="15.75">
      <c r="A125" s="44">
        <v>2</v>
      </c>
      <c r="B125" s="44">
        <v>3</v>
      </c>
      <c r="C125" s="51">
        <v>3</v>
      </c>
      <c r="D125" s="44">
        <v>3</v>
      </c>
      <c r="E125" s="44"/>
      <c r="F125" s="85" t="s">
        <v>93</v>
      </c>
      <c r="G125" s="67">
        <v>0</v>
      </c>
      <c r="H125" s="69">
        <v>0</v>
      </c>
      <c r="I125" s="69">
        <v>10856</v>
      </c>
      <c r="J125" s="69"/>
      <c r="K125" s="69">
        <f>+H125+I125+J125</f>
        <v>10856</v>
      </c>
      <c r="L125" s="69">
        <f>+G125-K125</f>
        <v>-10856</v>
      </c>
      <c r="M125" s="161"/>
    </row>
    <row r="126" spans="1:13" s="15" customFormat="1" ht="15.75">
      <c r="A126" s="44">
        <v>2</v>
      </c>
      <c r="B126" s="44">
        <v>3</v>
      </c>
      <c r="C126" s="51">
        <v>3</v>
      </c>
      <c r="D126" s="44">
        <v>4</v>
      </c>
      <c r="E126" s="44"/>
      <c r="F126" s="85" t="s">
        <v>94</v>
      </c>
      <c r="G126" s="67">
        <v>10500</v>
      </c>
      <c r="H126" s="69"/>
      <c r="I126" s="69"/>
      <c r="J126" s="69"/>
      <c r="K126" s="69"/>
      <c r="L126" s="69">
        <f>+G126-K126</f>
        <v>10500</v>
      </c>
      <c r="M126" s="161"/>
    </row>
    <row r="127" spans="1:13" s="16" customFormat="1" ht="15.75">
      <c r="A127" s="44"/>
      <c r="B127" s="44"/>
      <c r="C127" s="51"/>
      <c r="D127" s="44"/>
      <c r="E127" s="44"/>
      <c r="F127" s="85"/>
      <c r="G127" s="67"/>
      <c r="H127" s="69"/>
      <c r="I127" s="69"/>
      <c r="J127" s="69"/>
      <c r="K127" s="69"/>
      <c r="L127" s="69"/>
      <c r="M127" s="161"/>
    </row>
    <row r="128" spans="1:13" ht="32.25" thickBot="1">
      <c r="A128" s="52">
        <v>2</v>
      </c>
      <c r="B128" s="52">
        <v>3</v>
      </c>
      <c r="C128" s="91">
        <v>7</v>
      </c>
      <c r="D128" s="52"/>
      <c r="E128" s="52"/>
      <c r="F128" s="86" t="s">
        <v>95</v>
      </c>
      <c r="G128" s="54">
        <f t="shared" ref="G128:L129" si="23">G129</f>
        <v>300000</v>
      </c>
      <c r="H128" s="75">
        <f t="shared" si="23"/>
        <v>0</v>
      </c>
      <c r="I128" s="75">
        <f t="shared" si="23"/>
        <v>0</v>
      </c>
      <c r="J128" s="75">
        <f t="shared" si="23"/>
        <v>0</v>
      </c>
      <c r="K128" s="75"/>
      <c r="L128" s="75">
        <f t="shared" si="23"/>
        <v>300000</v>
      </c>
      <c r="M128" s="161"/>
    </row>
    <row r="129" spans="1:14" ht="16.5" thickBot="1">
      <c r="A129" s="52">
        <v>2</v>
      </c>
      <c r="B129" s="52">
        <v>3</v>
      </c>
      <c r="C129" s="91">
        <v>7</v>
      </c>
      <c r="D129" s="52">
        <v>1</v>
      </c>
      <c r="E129" s="52"/>
      <c r="F129" s="86" t="s">
        <v>96</v>
      </c>
      <c r="G129" s="54">
        <f t="shared" si="23"/>
        <v>300000</v>
      </c>
      <c r="H129" s="57">
        <f t="shared" si="23"/>
        <v>0</v>
      </c>
      <c r="I129" s="57"/>
      <c r="J129" s="57"/>
      <c r="K129" s="57"/>
      <c r="L129" s="57">
        <f t="shared" si="23"/>
        <v>300000</v>
      </c>
      <c r="M129" s="161"/>
    </row>
    <row r="130" spans="1:14" ht="15.75">
      <c r="A130" s="77">
        <v>2</v>
      </c>
      <c r="B130" s="77">
        <v>3</v>
      </c>
      <c r="C130" s="92">
        <v>7</v>
      </c>
      <c r="D130" s="77">
        <v>1</v>
      </c>
      <c r="E130" s="77">
        <v>1</v>
      </c>
      <c r="F130" s="65" t="s">
        <v>97</v>
      </c>
      <c r="G130" s="82">
        <v>300000</v>
      </c>
      <c r="H130" s="68"/>
      <c r="I130" s="68"/>
      <c r="J130" s="68"/>
      <c r="K130" s="68"/>
      <c r="L130" s="68">
        <f>+G130-K130</f>
        <v>300000</v>
      </c>
      <c r="M130" s="161"/>
    </row>
    <row r="131" spans="1:14" ht="15.75">
      <c r="A131" s="44"/>
      <c r="B131" s="44"/>
      <c r="C131" s="51"/>
      <c r="D131" s="44"/>
      <c r="E131" s="44"/>
      <c r="F131" s="65"/>
      <c r="G131" s="67"/>
      <c r="H131" s="69"/>
      <c r="I131" s="69"/>
      <c r="J131" s="69"/>
      <c r="K131" s="69"/>
      <c r="L131" s="69"/>
      <c r="M131" s="161"/>
    </row>
    <row r="132" spans="1:14" ht="16.5" thickBot="1">
      <c r="A132" s="44">
        <v>2</v>
      </c>
      <c r="B132" s="44">
        <v>3</v>
      </c>
      <c r="C132" s="51">
        <v>9</v>
      </c>
      <c r="D132" s="44"/>
      <c r="E132" s="52"/>
      <c r="F132" s="63" t="s">
        <v>98</v>
      </c>
      <c r="G132" s="87">
        <f t="shared" ref="G132:K132" si="24">SUM(G133:G137)</f>
        <v>205000</v>
      </c>
      <c r="H132" s="87">
        <f>SUM(H133:H137)</f>
        <v>12901.65</v>
      </c>
      <c r="I132" s="195">
        <f t="shared" si="24"/>
        <v>20259.25</v>
      </c>
      <c r="J132" s="195">
        <f>SUM(J133:J137)</f>
        <v>5029.3</v>
      </c>
      <c r="K132" s="195">
        <f t="shared" si="24"/>
        <v>39714.199999999997</v>
      </c>
      <c r="L132" s="87">
        <f>SUM(L133:L137)</f>
        <v>165285.79999999999</v>
      </c>
      <c r="M132" s="157"/>
    </row>
    <row r="133" spans="1:14" ht="15.75">
      <c r="A133" s="44">
        <v>2</v>
      </c>
      <c r="B133" s="44">
        <v>3</v>
      </c>
      <c r="C133" s="51">
        <v>9</v>
      </c>
      <c r="D133" s="44">
        <v>1</v>
      </c>
      <c r="E133" s="44"/>
      <c r="F133" s="65" t="s">
        <v>99</v>
      </c>
      <c r="G133" s="66">
        <v>15000</v>
      </c>
      <c r="H133" s="69"/>
      <c r="I133" s="69"/>
      <c r="J133" s="69"/>
      <c r="K133" s="69">
        <f>+H133+I133+J133</f>
        <v>0</v>
      </c>
      <c r="L133" s="69">
        <f>+G133-K133</f>
        <v>15000</v>
      </c>
      <c r="M133" s="161"/>
    </row>
    <row r="134" spans="1:14" ht="31.5">
      <c r="A134" s="44">
        <v>2</v>
      </c>
      <c r="B134" s="44">
        <v>3</v>
      </c>
      <c r="C134" s="51">
        <v>9</v>
      </c>
      <c r="D134" s="44">
        <v>2</v>
      </c>
      <c r="E134" s="44"/>
      <c r="F134" s="65" t="s">
        <v>100</v>
      </c>
      <c r="G134" s="67">
        <v>110000</v>
      </c>
      <c r="H134" s="69"/>
      <c r="I134" s="69">
        <f>9+3191+5422.1</f>
        <v>8622.1</v>
      </c>
      <c r="J134" s="69"/>
      <c r="K134" s="69">
        <f>+H134+I134+J134</f>
        <v>8622.1</v>
      </c>
      <c r="L134" s="69">
        <f>+G134-K134</f>
        <v>101377.9</v>
      </c>
      <c r="M134" s="161"/>
      <c r="N134" s="183"/>
    </row>
    <row r="135" spans="1:14" ht="15.75">
      <c r="A135" s="44">
        <v>2</v>
      </c>
      <c r="B135" s="77">
        <v>3</v>
      </c>
      <c r="C135" s="77">
        <v>9</v>
      </c>
      <c r="D135" s="44">
        <v>5</v>
      </c>
      <c r="E135" s="44"/>
      <c r="F135" s="93" t="s">
        <v>101</v>
      </c>
      <c r="G135" s="67">
        <v>25000</v>
      </c>
      <c r="H135" s="69"/>
      <c r="I135" s="69">
        <f>20+1631.55+293.85</f>
        <v>1945.4</v>
      </c>
      <c r="J135" s="69">
        <v>293.85000000000002</v>
      </c>
      <c r="K135" s="69">
        <f>+H135+I135+J135</f>
        <v>2239.25</v>
      </c>
      <c r="L135" s="69">
        <f>+G135-K135</f>
        <v>22760.75</v>
      </c>
      <c r="M135" s="161"/>
    </row>
    <row r="136" spans="1:14" ht="15.75">
      <c r="A136" s="44">
        <v>2</v>
      </c>
      <c r="B136" s="44">
        <v>3</v>
      </c>
      <c r="C136" s="51">
        <v>9</v>
      </c>
      <c r="D136" s="44">
        <v>8</v>
      </c>
      <c r="E136" s="44"/>
      <c r="F136" s="90" t="s">
        <v>102</v>
      </c>
      <c r="G136" s="67">
        <v>35000</v>
      </c>
      <c r="H136" s="69"/>
      <c r="I136" s="69">
        <f>767+6537.2</f>
        <v>7304.2</v>
      </c>
      <c r="J136" s="69">
        <f>790.6+150+137.8</f>
        <v>1078.4000000000001</v>
      </c>
      <c r="K136" s="69">
        <f>+H136+I136+J136</f>
        <v>8382.6</v>
      </c>
      <c r="L136" s="69">
        <f>+G136-K136</f>
        <v>26617.4</v>
      </c>
      <c r="M136" s="161"/>
    </row>
    <row r="137" spans="1:14" ht="15.75">
      <c r="A137" s="44">
        <v>2</v>
      </c>
      <c r="B137" s="44">
        <v>3</v>
      </c>
      <c r="C137" s="51">
        <v>9</v>
      </c>
      <c r="D137" s="44">
        <v>9</v>
      </c>
      <c r="E137" s="44"/>
      <c r="F137" s="90" t="s">
        <v>103</v>
      </c>
      <c r="G137" s="67">
        <v>20000</v>
      </c>
      <c r="H137" s="69">
        <f>6698+1216.8+4210+776.85</f>
        <v>12901.65</v>
      </c>
      <c r="I137" s="69">
        <f>857.8+1479.75+50</f>
        <v>2387.5500000000002</v>
      </c>
      <c r="J137" s="69">
        <f>517.9+1547.65+608.75+982.75</f>
        <v>3657.05</v>
      </c>
      <c r="K137" s="69">
        <f>+H137+I137+J137+1524</f>
        <v>20470.25</v>
      </c>
      <c r="L137" s="69">
        <f>+G137-K137</f>
        <v>-470.25</v>
      </c>
      <c r="M137" s="161"/>
    </row>
    <row r="138" spans="1:14" ht="15.75">
      <c r="A138" s="44">
        <v>2</v>
      </c>
      <c r="B138" s="44">
        <v>3</v>
      </c>
      <c r="C138" s="51">
        <v>9</v>
      </c>
      <c r="D138" s="44">
        <v>9</v>
      </c>
      <c r="E138" s="44">
        <v>2</v>
      </c>
      <c r="F138" s="90" t="s">
        <v>104</v>
      </c>
      <c r="G138" s="67"/>
      <c r="H138" s="69">
        <v>0</v>
      </c>
      <c r="I138" s="69"/>
      <c r="J138" s="69"/>
      <c r="K138" s="69"/>
      <c r="L138" s="69">
        <v>0</v>
      </c>
      <c r="M138" s="161"/>
    </row>
    <row r="139" spans="1:14" ht="15.75">
      <c r="A139" s="44"/>
      <c r="B139" s="44"/>
      <c r="C139" s="51"/>
      <c r="D139" s="44"/>
      <c r="E139" s="44"/>
      <c r="F139" s="65"/>
      <c r="G139" s="67"/>
      <c r="H139" s="69"/>
      <c r="I139" s="69"/>
      <c r="J139" s="69"/>
      <c r="K139" s="69"/>
      <c r="L139" s="69"/>
      <c r="M139" s="161"/>
    </row>
    <row r="140" spans="1:14" ht="32.25" thickBot="1">
      <c r="A140" s="44">
        <v>2</v>
      </c>
      <c r="B140" s="44">
        <v>6</v>
      </c>
      <c r="C140" s="51"/>
      <c r="D140" s="44"/>
      <c r="E140" s="52"/>
      <c r="F140" s="63" t="s">
        <v>105</v>
      </c>
      <c r="G140" s="55">
        <f t="shared" ref="G140:K140" si="25">G141+G149+G153</f>
        <v>0</v>
      </c>
      <c r="H140" s="55">
        <f>H141+H149+H153</f>
        <v>0</v>
      </c>
      <c r="I140" s="55">
        <f t="shared" si="25"/>
        <v>53961.4</v>
      </c>
      <c r="J140" s="55">
        <f t="shared" si="25"/>
        <v>0</v>
      </c>
      <c r="K140" s="55">
        <f t="shared" si="25"/>
        <v>53961.4</v>
      </c>
      <c r="L140" s="55">
        <f>L141+L149+L153</f>
        <v>-53961.4</v>
      </c>
      <c r="M140" s="160"/>
    </row>
    <row r="141" spans="1:14" ht="16.5" thickBot="1">
      <c r="A141" s="44">
        <v>2</v>
      </c>
      <c r="B141" s="44">
        <v>6</v>
      </c>
      <c r="C141" s="51">
        <v>1</v>
      </c>
      <c r="D141" s="44"/>
      <c r="E141" s="77"/>
      <c r="F141" s="86" t="s">
        <v>106</v>
      </c>
      <c r="G141" s="56">
        <f>G143+G144+G145+G147+G148</f>
        <v>0</v>
      </c>
      <c r="H141" s="123">
        <f>+H142+H143+H144+H145+H146+H147</f>
        <v>0</v>
      </c>
      <c r="I141" s="123">
        <f>+I142+I143+I144+I145+I146+I147</f>
        <v>53961.4</v>
      </c>
      <c r="J141" s="123"/>
      <c r="K141" s="123">
        <f>+K142+K143+K144+K145+K146+K147</f>
        <v>53961.4</v>
      </c>
      <c r="L141" s="123">
        <f>+L142+L143+L144+L145+L146+L147</f>
        <v>-53961.4</v>
      </c>
      <c r="M141" s="166"/>
    </row>
    <row r="142" spans="1:14" ht="15.75">
      <c r="A142" s="44">
        <v>2</v>
      </c>
      <c r="B142" s="44">
        <v>6</v>
      </c>
      <c r="C142" s="51">
        <v>8</v>
      </c>
      <c r="D142" s="44">
        <v>8</v>
      </c>
      <c r="E142" s="77"/>
      <c r="F142" s="94" t="s">
        <v>107</v>
      </c>
      <c r="G142" s="67">
        <f>G144+G145+G146+G148+G149</f>
        <v>0</v>
      </c>
      <c r="H142" s="82">
        <f>H144+H145+H146+H148+H149</f>
        <v>0</v>
      </c>
      <c r="I142" s="82"/>
      <c r="J142" s="82"/>
      <c r="K142" s="82">
        <f>+H142+I142</f>
        <v>0</v>
      </c>
      <c r="L142" s="82">
        <f>+G142-K142</f>
        <v>0</v>
      </c>
      <c r="M142" s="166"/>
    </row>
    <row r="143" spans="1:14" ht="31.5">
      <c r="A143" s="44">
        <v>2</v>
      </c>
      <c r="B143" s="44">
        <v>6</v>
      </c>
      <c r="C143" s="51">
        <v>1</v>
      </c>
      <c r="D143" s="44">
        <v>1</v>
      </c>
      <c r="E143" s="77"/>
      <c r="F143" s="85" t="s">
        <v>108</v>
      </c>
      <c r="G143" s="67"/>
      <c r="H143" s="69"/>
      <c r="I143" s="69"/>
      <c r="J143" s="69"/>
      <c r="K143" s="69">
        <f>+H143+I143</f>
        <v>0</v>
      </c>
      <c r="L143" s="69">
        <f>+G143-K143</f>
        <v>0</v>
      </c>
      <c r="M143" s="161"/>
    </row>
    <row r="144" spans="1:14" ht="15.75">
      <c r="A144" s="44">
        <v>2</v>
      </c>
      <c r="B144" s="44">
        <v>6</v>
      </c>
      <c r="C144" s="51">
        <v>1</v>
      </c>
      <c r="D144" s="44">
        <v>4</v>
      </c>
      <c r="E144" s="77"/>
      <c r="F144" s="85" t="s">
        <v>109</v>
      </c>
      <c r="G144" s="67"/>
      <c r="H144" s="69"/>
      <c r="I144" s="69">
        <v>53961.4</v>
      </c>
      <c r="J144" s="69"/>
      <c r="K144" s="69">
        <f>+H144+I144+J144</f>
        <v>53961.4</v>
      </c>
      <c r="L144" s="69">
        <f>+G144-K144</f>
        <v>-53961.4</v>
      </c>
      <c r="M144" s="161"/>
    </row>
    <row r="145" spans="1:15" ht="24.75" customHeight="1">
      <c r="A145" s="44">
        <v>2</v>
      </c>
      <c r="B145" s="44">
        <v>6</v>
      </c>
      <c r="C145" s="51">
        <v>1</v>
      </c>
      <c r="D145" s="44">
        <v>7</v>
      </c>
      <c r="E145" s="77"/>
      <c r="F145" s="85" t="s">
        <v>110</v>
      </c>
      <c r="G145" s="67"/>
      <c r="H145" s="69">
        <v>0</v>
      </c>
      <c r="I145" s="69"/>
      <c r="J145" s="69"/>
      <c r="K145" s="69">
        <f>+H145+I145</f>
        <v>0</v>
      </c>
      <c r="L145" s="69">
        <f t="shared" ref="L145:L147" si="26">+G145-K145</f>
        <v>0</v>
      </c>
      <c r="M145" s="161"/>
    </row>
    <row r="146" spans="1:15" ht="15.75">
      <c r="A146" s="44">
        <v>2</v>
      </c>
      <c r="B146" s="44">
        <v>6</v>
      </c>
      <c r="C146" s="51">
        <v>1</v>
      </c>
      <c r="D146" s="44">
        <v>8</v>
      </c>
      <c r="E146" s="77"/>
      <c r="F146" s="85" t="s">
        <v>111</v>
      </c>
      <c r="G146" s="67"/>
      <c r="H146" s="69"/>
      <c r="I146" s="69"/>
      <c r="J146" s="69"/>
      <c r="K146" s="69">
        <f>+H146+I146</f>
        <v>0</v>
      </c>
      <c r="L146" s="69">
        <f t="shared" si="26"/>
        <v>0</v>
      </c>
      <c r="M146" s="161"/>
    </row>
    <row r="147" spans="1:15" ht="31.5">
      <c r="A147" s="44">
        <v>2</v>
      </c>
      <c r="B147" s="44">
        <v>6</v>
      </c>
      <c r="C147" s="51">
        <v>1</v>
      </c>
      <c r="D147" s="44">
        <v>9</v>
      </c>
      <c r="E147" s="77"/>
      <c r="F147" s="85" t="s">
        <v>112</v>
      </c>
      <c r="G147" s="67"/>
      <c r="H147" s="69"/>
      <c r="I147" s="69"/>
      <c r="J147" s="69"/>
      <c r="K147" s="69"/>
      <c r="L147" s="69">
        <f t="shared" si="26"/>
        <v>0</v>
      </c>
      <c r="M147" s="161"/>
    </row>
    <row r="148" spans="1:15" ht="15.75">
      <c r="A148" s="44"/>
      <c r="B148" s="44"/>
      <c r="C148" s="51"/>
      <c r="D148" s="44"/>
      <c r="E148" s="52"/>
      <c r="F148" s="86"/>
      <c r="G148" s="83"/>
      <c r="H148" s="55"/>
      <c r="I148" s="55"/>
      <c r="J148" s="55"/>
      <c r="K148" s="55"/>
      <c r="L148" s="55"/>
      <c r="M148" s="160"/>
    </row>
    <row r="149" spans="1:15" ht="32.25" thickBot="1">
      <c r="A149" s="44">
        <v>2</v>
      </c>
      <c r="B149" s="44">
        <v>6</v>
      </c>
      <c r="C149" s="51">
        <v>2</v>
      </c>
      <c r="D149" s="44"/>
      <c r="E149" s="52"/>
      <c r="F149" s="86" t="s">
        <v>113</v>
      </c>
      <c r="G149" s="54">
        <f>G150+G151</f>
        <v>0</v>
      </c>
      <c r="H149" s="75"/>
      <c r="I149" s="75">
        <f>I150+I151</f>
        <v>0</v>
      </c>
      <c r="J149" s="75">
        <f>J150+J151</f>
        <v>0</v>
      </c>
      <c r="K149" s="75">
        <f>K150+K151</f>
        <v>0</v>
      </c>
      <c r="L149" s="75">
        <f>L150+L151</f>
        <v>0</v>
      </c>
      <c r="M149" s="161"/>
      <c r="O149" s="180"/>
    </row>
    <row r="150" spans="1:15" ht="15.75">
      <c r="A150" s="44">
        <v>2</v>
      </c>
      <c r="B150" s="44">
        <v>6</v>
      </c>
      <c r="C150" s="51">
        <v>2</v>
      </c>
      <c r="D150" s="44">
        <v>1</v>
      </c>
      <c r="E150" s="77"/>
      <c r="F150" s="65" t="s">
        <v>114</v>
      </c>
      <c r="G150" s="67"/>
      <c r="H150" s="69">
        <v>0</v>
      </c>
      <c r="I150" s="69"/>
      <c r="J150" s="69"/>
      <c r="K150" s="69">
        <f>+H150+I150</f>
        <v>0</v>
      </c>
      <c r="L150" s="69">
        <f>+G150-K150</f>
        <v>0</v>
      </c>
      <c r="M150" s="161"/>
    </row>
    <row r="151" spans="1:15" ht="31.5" customHeight="1">
      <c r="A151" s="44">
        <v>2</v>
      </c>
      <c r="B151" s="44">
        <v>6</v>
      </c>
      <c r="C151" s="51">
        <v>2</v>
      </c>
      <c r="D151" s="44">
        <v>3</v>
      </c>
      <c r="E151" s="77"/>
      <c r="F151" s="65" t="s">
        <v>115</v>
      </c>
      <c r="G151" s="67"/>
      <c r="H151" s="69">
        <f>G151*12</f>
        <v>0</v>
      </c>
      <c r="I151" s="69"/>
      <c r="J151" s="69"/>
      <c r="K151" s="69">
        <f>+H151+I151</f>
        <v>0</v>
      </c>
      <c r="L151" s="69">
        <f>+G151-K151</f>
        <v>0</v>
      </c>
      <c r="M151" s="161"/>
    </row>
    <row r="152" spans="1:15" ht="15.75">
      <c r="A152" s="44"/>
      <c r="B152" s="44"/>
      <c r="C152" s="51"/>
      <c r="D152" s="44"/>
      <c r="E152" s="52"/>
      <c r="F152" s="63"/>
      <c r="G152" s="83"/>
      <c r="H152" s="55"/>
      <c r="I152" s="55"/>
      <c r="J152" s="55"/>
      <c r="K152" s="55"/>
      <c r="L152" s="55"/>
      <c r="M152" s="160"/>
    </row>
    <row r="153" spans="1:15" ht="32.25" thickBot="1">
      <c r="A153" s="44">
        <v>2</v>
      </c>
      <c r="B153" s="44">
        <v>6</v>
      </c>
      <c r="C153" s="51">
        <v>4</v>
      </c>
      <c r="D153" s="44"/>
      <c r="E153" s="52"/>
      <c r="F153" s="63" t="s">
        <v>116</v>
      </c>
      <c r="G153" s="83">
        <f>G155+G156+G154</f>
        <v>0</v>
      </c>
      <c r="H153" s="69">
        <f>H154+H155</f>
        <v>0</v>
      </c>
      <c r="I153" s="69">
        <f>I154+I155</f>
        <v>0</v>
      </c>
      <c r="J153" s="69"/>
      <c r="K153" s="69">
        <f>K154+K155</f>
        <v>0</v>
      </c>
      <c r="L153" s="69">
        <f>L154+L155</f>
        <v>0</v>
      </c>
      <c r="M153" s="161"/>
    </row>
    <row r="154" spans="1:15" ht="31.5">
      <c r="A154" s="44">
        <v>2</v>
      </c>
      <c r="B154" s="44">
        <v>6</v>
      </c>
      <c r="C154" s="51">
        <v>4</v>
      </c>
      <c r="D154" s="44"/>
      <c r="E154" s="52"/>
      <c r="F154" s="85" t="s">
        <v>116</v>
      </c>
      <c r="G154" s="59"/>
      <c r="H154" s="68">
        <v>0</v>
      </c>
      <c r="I154" s="177"/>
      <c r="J154" s="177"/>
      <c r="K154" s="68">
        <f>+H154+I154</f>
        <v>0</v>
      </c>
      <c r="L154" s="68">
        <f>+G154-K154</f>
        <v>0</v>
      </c>
      <c r="M154" s="161"/>
    </row>
    <row r="155" spans="1:15" ht="15.75">
      <c r="A155" s="44">
        <v>2</v>
      </c>
      <c r="B155" s="44">
        <v>6</v>
      </c>
      <c r="C155" s="51">
        <v>4</v>
      </c>
      <c r="D155" s="44">
        <v>1</v>
      </c>
      <c r="E155" s="44"/>
      <c r="F155" s="85" t="s">
        <v>117</v>
      </c>
      <c r="G155" s="67"/>
      <c r="H155" s="69">
        <v>0</v>
      </c>
      <c r="I155" s="176"/>
      <c r="J155" s="176"/>
      <c r="K155" s="69">
        <f>+H155+I155</f>
        <v>0</v>
      </c>
      <c r="L155" s="69">
        <f>+G155-H155-I155</f>
        <v>0</v>
      </c>
      <c r="M155" s="161"/>
    </row>
    <row r="156" spans="1:15" ht="15.75">
      <c r="A156" s="44">
        <v>2</v>
      </c>
      <c r="B156" s="44">
        <v>6</v>
      </c>
      <c r="C156" s="51">
        <v>4</v>
      </c>
      <c r="D156" s="44">
        <v>7</v>
      </c>
      <c r="E156" s="44"/>
      <c r="F156" s="85" t="s">
        <v>118</v>
      </c>
      <c r="G156" s="67">
        <v>0</v>
      </c>
      <c r="H156" s="69">
        <v>0</v>
      </c>
      <c r="I156" s="176"/>
      <c r="J156" s="176"/>
      <c r="K156" s="69"/>
      <c r="L156" s="69">
        <f>+G156-H156+I156</f>
        <v>0</v>
      </c>
      <c r="M156" s="161"/>
    </row>
    <row r="157" spans="1:15" ht="16.5" thickBot="1">
      <c r="A157" s="44"/>
      <c r="B157" s="44"/>
      <c r="C157" s="51"/>
      <c r="D157" s="43"/>
      <c r="E157" s="44"/>
      <c r="F157" s="85"/>
      <c r="G157" s="70"/>
      <c r="H157" s="75"/>
      <c r="I157" s="178"/>
      <c r="J157" s="178"/>
      <c r="K157" s="75"/>
      <c r="L157" s="75"/>
      <c r="M157" s="161"/>
    </row>
    <row r="158" spans="1:15" ht="16.5" thickBot="1">
      <c r="A158" s="95"/>
      <c r="B158" s="95"/>
      <c r="C158" s="96"/>
      <c r="D158" s="97"/>
      <c r="E158" s="97"/>
      <c r="F158" s="98" t="s">
        <v>119</v>
      </c>
      <c r="G158" s="54">
        <f t="shared" ref="G158:L158" si="27">G114+G53+G13</f>
        <v>54039167</v>
      </c>
      <c r="H158" s="54">
        <f>H114+H53+H13</f>
        <v>5359997.83</v>
      </c>
      <c r="I158" s="54">
        <f t="shared" si="27"/>
        <v>4552451.5999999996</v>
      </c>
      <c r="J158" s="54">
        <f t="shared" si="27"/>
        <v>5334753.34</v>
      </c>
      <c r="K158" s="54">
        <f t="shared" si="27"/>
        <v>15248726.77</v>
      </c>
      <c r="L158" s="54">
        <f t="shared" si="27"/>
        <v>38790440.229999997</v>
      </c>
      <c r="M158" s="157"/>
    </row>
    <row r="159" spans="1:15" ht="15.75">
      <c r="A159" s="99"/>
      <c r="B159" s="99"/>
      <c r="C159" s="28"/>
      <c r="D159" s="28"/>
      <c r="E159" s="28"/>
      <c r="F159" s="156"/>
      <c r="G159" s="157"/>
      <c r="H159" s="157"/>
      <c r="I159" s="157"/>
      <c r="J159" s="157"/>
      <c r="K159" s="157"/>
      <c r="L159" s="157"/>
      <c r="M159" s="157"/>
    </row>
    <row r="160" spans="1:15" ht="15.75">
      <c r="A160" s="99"/>
      <c r="B160" s="99"/>
      <c r="C160" s="28"/>
      <c r="D160" s="28"/>
      <c r="E160" s="28"/>
      <c r="F160" s="156"/>
      <c r="G160" s="157"/>
      <c r="H160" s="157"/>
      <c r="I160" s="157"/>
      <c r="J160" s="157"/>
      <c r="K160" s="157"/>
      <c r="L160" s="157"/>
      <c r="M160" s="157"/>
    </row>
    <row r="161" spans="1:13" ht="18">
      <c r="A161" s="99"/>
      <c r="B161" s="99"/>
      <c r="C161" s="28"/>
      <c r="D161" s="28"/>
      <c r="E161" s="100"/>
      <c r="F161" s="101"/>
      <c r="G161" s="102"/>
      <c r="H161" s="103"/>
      <c r="I161" s="103"/>
      <c r="J161" s="103"/>
      <c r="K161" s="103"/>
      <c r="L161" s="20"/>
      <c r="M161" s="19"/>
    </row>
    <row r="162" spans="1:13" ht="18.75" thickBot="1">
      <c r="A162" s="26"/>
      <c r="B162" s="26"/>
      <c r="C162" s="26"/>
      <c r="D162" s="26"/>
      <c r="E162" s="26"/>
      <c r="F162" s="101"/>
      <c r="G162" s="104"/>
      <c r="H162" s="104"/>
      <c r="I162" s="104"/>
      <c r="J162" s="104"/>
      <c r="K162" s="104"/>
      <c r="L162" s="20"/>
      <c r="M162" s="20"/>
    </row>
    <row r="163" spans="1:13" ht="18.75">
      <c r="A163" s="26"/>
      <c r="B163" s="26"/>
      <c r="C163" s="26"/>
      <c r="D163" s="26"/>
      <c r="E163" s="26"/>
      <c r="F163" s="105" t="s">
        <v>120</v>
      </c>
      <c r="G163" s="104"/>
      <c r="H163" s="104"/>
      <c r="I163" s="104"/>
      <c r="J163" s="104"/>
      <c r="K163" s="104"/>
      <c r="L163" s="154"/>
      <c r="M163" s="154"/>
    </row>
    <row r="164" spans="1:13" ht="18.75">
      <c r="A164" s="26"/>
      <c r="B164" s="26"/>
      <c r="C164" s="26"/>
      <c r="D164" s="26"/>
      <c r="E164" s="26"/>
      <c r="F164" s="101" t="s">
        <v>121</v>
      </c>
      <c r="G164" s="106"/>
      <c r="H164" s="104"/>
      <c r="I164" s="104"/>
      <c r="J164" s="104"/>
      <c r="K164" s="104"/>
      <c r="L164" s="154"/>
      <c r="M164" s="18"/>
    </row>
    <row r="165" spans="1:13" ht="18.75">
      <c r="A165" s="26"/>
      <c r="B165" s="26"/>
      <c r="C165" s="26"/>
      <c r="D165" s="26"/>
      <c r="E165" s="26"/>
      <c r="F165" s="101"/>
      <c r="G165" s="106"/>
      <c r="H165" s="104"/>
      <c r="I165" s="104"/>
      <c r="J165" s="104"/>
      <c r="K165" s="104"/>
      <c r="L165" s="154"/>
      <c r="M165" s="154"/>
    </row>
    <row r="166" spans="1:13" ht="18.75">
      <c r="A166" s="26"/>
      <c r="B166" s="26"/>
      <c r="C166" s="26"/>
      <c r="D166" s="26"/>
      <c r="E166" s="26"/>
      <c r="F166" s="101"/>
      <c r="G166" s="104"/>
      <c r="H166" s="104"/>
      <c r="I166" s="104"/>
      <c r="J166" s="104"/>
      <c r="K166" s="104"/>
      <c r="L166" s="18"/>
      <c r="M166" s="18"/>
    </row>
    <row r="167" spans="1:13" ht="18.75">
      <c r="A167" s="26"/>
      <c r="B167" s="26"/>
      <c r="C167" s="26"/>
      <c r="D167" s="26"/>
      <c r="E167" s="26"/>
      <c r="F167" s="101"/>
      <c r="G167" s="106"/>
      <c r="H167" s="13"/>
      <c r="I167" s="13"/>
      <c r="J167" s="13"/>
      <c r="K167" s="13"/>
      <c r="L167" s="22"/>
      <c r="M167" s="22"/>
    </row>
    <row r="168" spans="1:13" ht="18.75">
      <c r="A168" s="26"/>
      <c r="B168" s="26"/>
      <c r="C168" s="26"/>
      <c r="D168" s="26"/>
      <c r="E168" s="26"/>
      <c r="F168" s="101"/>
      <c r="G168" s="106"/>
      <c r="H168" s="13"/>
      <c r="I168" s="13"/>
      <c r="J168" s="13"/>
      <c r="K168" s="13"/>
      <c r="L168" s="22"/>
      <c r="M168" s="22"/>
    </row>
    <row r="169" spans="1:13" ht="18.75">
      <c r="A169" s="26"/>
      <c r="B169" s="26"/>
      <c r="C169" s="26"/>
      <c r="D169" s="26"/>
      <c r="E169" s="26"/>
      <c r="F169" s="101"/>
      <c r="G169" s="106"/>
      <c r="H169" s="13"/>
      <c r="I169" s="13"/>
      <c r="J169" s="13"/>
      <c r="K169" s="13"/>
      <c r="L169" s="22"/>
      <c r="M169" s="22"/>
    </row>
    <row r="170" spans="1:13" ht="19.5" thickBot="1">
      <c r="A170" s="26"/>
      <c r="B170" s="26"/>
      <c r="C170" s="26"/>
      <c r="D170" s="26"/>
      <c r="E170" s="26"/>
      <c r="F170" s="109"/>
      <c r="G170" s="106"/>
      <c r="H170" s="13"/>
      <c r="I170" s="13"/>
      <c r="J170" s="13"/>
      <c r="K170" s="13"/>
      <c r="L170" s="22"/>
      <c r="M170" s="22"/>
    </row>
    <row r="171" spans="1:13" ht="18">
      <c r="A171" s="26"/>
      <c r="B171" s="26"/>
      <c r="C171" s="26"/>
      <c r="D171" s="26"/>
      <c r="E171" s="26"/>
      <c r="F171" s="101" t="s">
        <v>187</v>
      </c>
      <c r="G171" s="107"/>
      <c r="H171" s="13"/>
      <c r="I171" s="13"/>
      <c r="J171" s="13"/>
      <c r="K171" s="13"/>
      <c r="L171" s="19"/>
      <c r="M171" s="19"/>
    </row>
    <row r="172" spans="1:13" ht="18">
      <c r="A172" s="26"/>
      <c r="B172" s="26"/>
      <c r="C172" s="26"/>
      <c r="D172" s="26"/>
      <c r="E172" s="26"/>
      <c r="F172" s="101" t="s">
        <v>123</v>
      </c>
      <c r="G172" s="107"/>
      <c r="H172" s="13"/>
      <c r="I172" s="13"/>
      <c r="J172" s="13"/>
      <c r="K172" s="13"/>
      <c r="L172" s="19"/>
      <c r="M172" s="19"/>
    </row>
    <row r="173" spans="1:13" ht="18">
      <c r="A173" s="26"/>
      <c r="B173" s="26"/>
      <c r="C173" s="26"/>
      <c r="D173" s="26"/>
      <c r="E173" s="26"/>
      <c r="F173" s="101"/>
      <c r="G173" s="108"/>
      <c r="H173" s="13"/>
      <c r="I173" s="13"/>
      <c r="J173" s="13"/>
      <c r="K173" s="13"/>
      <c r="L173" s="24"/>
      <c r="M173" s="24"/>
    </row>
    <row r="174" spans="1:13" ht="15.75">
      <c r="A174" s="26"/>
      <c r="B174" s="26"/>
      <c r="C174" s="26"/>
      <c r="D174" s="26"/>
      <c r="E174" s="26"/>
      <c r="F174" s="99"/>
      <c r="G174" s="108"/>
      <c r="H174" s="13"/>
      <c r="I174" s="13"/>
      <c r="J174" s="13"/>
      <c r="K174" s="13"/>
      <c r="L174" s="24"/>
      <c r="M174" s="24"/>
    </row>
    <row r="175" spans="1:13" ht="15.75">
      <c r="A175" s="26"/>
      <c r="B175" s="26"/>
      <c r="C175" s="26"/>
      <c r="D175" s="26"/>
      <c r="E175" s="26"/>
      <c r="F175" s="99"/>
      <c r="G175" s="108"/>
      <c r="H175" s="13"/>
      <c r="I175" s="13"/>
      <c r="J175" s="13"/>
      <c r="K175" s="13"/>
      <c r="L175" s="24"/>
      <c r="M175" s="24"/>
    </row>
    <row r="176" spans="1:13" ht="18">
      <c r="A176" s="26"/>
      <c r="B176" s="26"/>
      <c r="C176" s="26"/>
      <c r="D176" s="26"/>
      <c r="E176" s="26"/>
      <c r="F176" s="26"/>
      <c r="G176" s="110"/>
      <c r="H176" s="13"/>
      <c r="I176" s="13"/>
      <c r="J176" s="13"/>
      <c r="K176" s="13"/>
      <c r="L176" s="23"/>
      <c r="M176" s="23"/>
    </row>
    <row r="177" spans="1:13" ht="18">
      <c r="A177" s="26"/>
      <c r="B177" s="26"/>
      <c r="C177" s="26"/>
      <c r="D177" s="26"/>
      <c r="E177" s="26"/>
      <c r="F177" s="26"/>
      <c r="G177" s="101"/>
      <c r="H177" s="13"/>
      <c r="I177" s="13"/>
      <c r="J177" s="13"/>
      <c r="K177" s="13"/>
      <c r="L177" s="21"/>
      <c r="M177" s="21"/>
    </row>
    <row r="178" spans="1:13" ht="18.75" thickBot="1">
      <c r="A178" s="26"/>
      <c r="B178" s="26"/>
      <c r="C178" s="26"/>
      <c r="D178" s="26"/>
      <c r="E178" s="26"/>
      <c r="F178" s="109"/>
      <c r="G178" s="101"/>
      <c r="H178" s="111"/>
      <c r="I178" s="111"/>
      <c r="J178" s="111"/>
      <c r="K178" s="111"/>
      <c r="L178" s="21"/>
      <c r="M178" s="21"/>
    </row>
    <row r="179" spans="1:13" ht="18">
      <c r="A179" s="26"/>
      <c r="B179" s="26"/>
      <c r="C179" s="26"/>
      <c r="D179" s="112"/>
      <c r="E179" s="26"/>
      <c r="F179" s="101" t="s">
        <v>124</v>
      </c>
      <c r="G179" s="112"/>
      <c r="H179" s="111"/>
      <c r="I179" s="111"/>
      <c r="J179" s="111"/>
      <c r="K179" s="111"/>
      <c r="L179" s="21"/>
      <c r="M179" s="21"/>
    </row>
    <row r="180" spans="1:13" ht="18">
      <c r="A180" s="26"/>
      <c r="B180" s="26"/>
      <c r="C180" s="26"/>
      <c r="D180" s="26"/>
      <c r="E180" s="26"/>
      <c r="F180" s="101" t="s">
        <v>125</v>
      </c>
      <c r="G180" s="26"/>
      <c r="H180" s="113"/>
      <c r="I180" s="113"/>
      <c r="J180" s="113"/>
      <c r="K180" s="113"/>
      <c r="L180" s="25"/>
      <c r="M180" s="25"/>
    </row>
    <row r="181" spans="1:13" ht="18">
      <c r="A181" s="26"/>
      <c r="B181" s="26"/>
      <c r="C181" s="26"/>
      <c r="D181" s="26"/>
      <c r="E181" s="26"/>
      <c r="F181" s="101"/>
      <c r="G181" s="26"/>
      <c r="H181" s="113"/>
      <c r="I181" s="113"/>
      <c r="J181" s="113"/>
      <c r="K181" s="113"/>
      <c r="L181" s="25"/>
      <c r="M181" s="25"/>
    </row>
    <row r="182" spans="1:13">
      <c r="A182" s="26"/>
      <c r="B182" s="26"/>
      <c r="C182" s="26"/>
      <c r="D182" s="26"/>
      <c r="E182" s="26"/>
      <c r="F182" s="26"/>
      <c r="G182" s="26"/>
      <c r="H182" s="113"/>
      <c r="I182" s="113"/>
      <c r="J182" s="113"/>
      <c r="K182" s="113"/>
      <c r="L182" s="25"/>
      <c r="M182" s="25"/>
    </row>
    <row r="183" spans="1:13">
      <c r="A183" s="26"/>
      <c r="B183" s="26"/>
      <c r="C183" s="26"/>
      <c r="D183" s="26"/>
      <c r="E183" s="26"/>
      <c r="F183" s="26"/>
      <c r="G183" s="26"/>
      <c r="H183" s="113"/>
      <c r="I183" s="113"/>
      <c r="J183" s="113"/>
      <c r="K183" s="113"/>
      <c r="L183" s="13"/>
      <c r="M183" s="13"/>
    </row>
    <row r="184" spans="1:13">
      <c r="A184" s="26"/>
      <c r="B184" s="26"/>
      <c r="C184" s="26"/>
      <c r="D184" s="26"/>
      <c r="E184" s="26"/>
      <c r="F184" s="26"/>
      <c r="G184" s="26"/>
      <c r="H184" s="113"/>
      <c r="I184" s="113"/>
      <c r="J184" s="113"/>
      <c r="K184" s="113"/>
      <c r="L184" s="13"/>
      <c r="M184" s="13"/>
    </row>
    <row r="185" spans="1:13">
      <c r="A185" s="26"/>
      <c r="B185" s="26"/>
      <c r="C185" s="26"/>
      <c r="D185" s="26"/>
      <c r="E185" s="26"/>
      <c r="G185" s="26"/>
      <c r="H185" s="113"/>
      <c r="I185" s="113"/>
      <c r="J185" s="113"/>
      <c r="K185" s="113"/>
      <c r="L185" s="13"/>
      <c r="M185" s="13"/>
    </row>
    <row r="186" spans="1:13">
      <c r="A186" s="26"/>
      <c r="B186" s="26"/>
      <c r="C186" s="26"/>
      <c r="D186" s="26"/>
      <c r="E186" s="26"/>
      <c r="G186" s="26"/>
      <c r="H186" s="27"/>
      <c r="I186" s="27"/>
      <c r="J186" s="27"/>
      <c r="K186" s="27"/>
      <c r="L186" s="13"/>
      <c r="M186" s="13"/>
    </row>
    <row r="187" spans="1:13" ht="18">
      <c r="A187" s="26"/>
      <c r="B187" s="26"/>
      <c r="C187" s="26"/>
      <c r="D187" s="26"/>
      <c r="E187" s="26"/>
      <c r="F187" s="101"/>
      <c r="G187" s="26"/>
      <c r="H187" s="27"/>
      <c r="I187" s="27"/>
      <c r="J187" s="27"/>
      <c r="K187" s="27"/>
      <c r="L187" s="13"/>
      <c r="M187" s="13"/>
    </row>
    <row r="188" spans="1:13">
      <c r="A188" s="26"/>
      <c r="B188" s="26"/>
      <c r="C188" s="26"/>
      <c r="D188" s="26"/>
      <c r="E188" s="26"/>
      <c r="F188" s="26"/>
      <c r="G188" s="26"/>
      <c r="H188" s="27"/>
      <c r="I188" s="27"/>
      <c r="J188" s="27"/>
      <c r="K188" s="27"/>
      <c r="L188" s="13"/>
      <c r="M188" s="13"/>
    </row>
    <row r="189" spans="1:13">
      <c r="A189" s="26"/>
      <c r="B189" s="26"/>
      <c r="C189" s="26"/>
      <c r="D189" s="26"/>
      <c r="E189" s="26"/>
      <c r="F189" s="26"/>
      <c r="G189" s="26"/>
      <c r="H189" s="27"/>
      <c r="I189" s="27"/>
      <c r="J189" s="27"/>
      <c r="K189" s="27"/>
      <c r="L189" s="13"/>
      <c r="M189" s="13"/>
    </row>
    <row r="190" spans="1:13">
      <c r="A190" s="26"/>
      <c r="B190" s="26"/>
      <c r="C190" s="26"/>
      <c r="D190" s="26"/>
      <c r="E190" s="26"/>
      <c r="F190" s="26"/>
      <c r="G190" s="26"/>
      <c r="H190" s="27"/>
      <c r="I190" s="27"/>
      <c r="J190" s="27"/>
      <c r="K190" s="27"/>
      <c r="L190" s="13"/>
      <c r="M190" s="13"/>
    </row>
    <row r="191" spans="1:13">
      <c r="L191" s="13"/>
      <c r="M191" s="13"/>
    </row>
    <row r="192" spans="1:13">
      <c r="L192" s="13"/>
      <c r="M192" s="13"/>
    </row>
    <row r="193" spans="12:13">
      <c r="L193" s="13"/>
      <c r="M193" s="13"/>
    </row>
    <row r="194" spans="12:13">
      <c r="L194" s="13"/>
      <c r="M194" s="13"/>
    </row>
    <row r="195" spans="12:13">
      <c r="L195" s="13"/>
      <c r="M195" s="13"/>
    </row>
    <row r="196" spans="12:13">
      <c r="L196" s="13"/>
      <c r="M196" s="13"/>
    </row>
    <row r="197" spans="12:13">
      <c r="L197" s="13"/>
      <c r="M197" s="13"/>
    </row>
    <row r="198" spans="12:13">
      <c r="L198" s="13"/>
      <c r="M198" s="13"/>
    </row>
    <row r="199" spans="12:13">
      <c r="L199" s="13"/>
      <c r="M199" s="13"/>
    </row>
    <row r="200" spans="12:13">
      <c r="L200" s="13"/>
      <c r="M200" s="13"/>
    </row>
    <row r="201" spans="12:13">
      <c r="L201" s="13"/>
      <c r="M201" s="13"/>
    </row>
    <row r="202" spans="12:13">
      <c r="L202" s="13"/>
      <c r="M202" s="13"/>
    </row>
    <row r="203" spans="12:13">
      <c r="L203" s="13"/>
      <c r="M203" s="13"/>
    </row>
    <row r="204" spans="12:13">
      <c r="L204" s="13"/>
      <c r="M204" s="13"/>
    </row>
    <row r="205" spans="12:13">
      <c r="L205" s="13"/>
      <c r="M205" s="13"/>
    </row>
    <row r="206" spans="12:13">
      <c r="L206" s="13"/>
      <c r="M206" s="13"/>
    </row>
    <row r="207" spans="12:13">
      <c r="L207" s="13"/>
      <c r="M207" s="13"/>
    </row>
    <row r="208" spans="12:13">
      <c r="L208" s="13"/>
      <c r="M208" s="13"/>
    </row>
    <row r="209" spans="12:13">
      <c r="L209" s="13"/>
      <c r="M209" s="13"/>
    </row>
    <row r="210" spans="12:13">
      <c r="L210" s="13"/>
      <c r="M210" s="13"/>
    </row>
    <row r="211" spans="12:13">
      <c r="L211" s="13"/>
      <c r="M211" s="13"/>
    </row>
    <row r="212" spans="12:13">
      <c r="L212" s="13"/>
      <c r="M212" s="13"/>
    </row>
    <row r="213" spans="12:13">
      <c r="L213" s="13"/>
      <c r="M213" s="13"/>
    </row>
    <row r="214" spans="12:13">
      <c r="L214" s="13"/>
      <c r="M214" s="13"/>
    </row>
    <row r="215" spans="12:13">
      <c r="L215" s="13"/>
      <c r="M215" s="13"/>
    </row>
    <row r="216" spans="12:13">
      <c r="L216" s="13"/>
      <c r="M216" s="13"/>
    </row>
    <row r="217" spans="12:13">
      <c r="L217" s="13"/>
      <c r="M217" s="13"/>
    </row>
    <row r="218" spans="12:13">
      <c r="L218" s="13"/>
      <c r="M218" s="13"/>
    </row>
    <row r="219" spans="12:13">
      <c r="L219" s="13"/>
      <c r="M219" s="13"/>
    </row>
    <row r="220" spans="12:13">
      <c r="L220" s="13"/>
      <c r="M220" s="13"/>
    </row>
    <row r="221" spans="12:13">
      <c r="L221" s="13"/>
      <c r="M221" s="13"/>
    </row>
    <row r="222" spans="12:13">
      <c r="L222" s="13"/>
      <c r="M222" s="13"/>
    </row>
    <row r="223" spans="12:13">
      <c r="L223" s="13"/>
      <c r="M223" s="13"/>
    </row>
    <row r="224" spans="12:13">
      <c r="L224" s="13"/>
      <c r="M224" s="13"/>
    </row>
    <row r="225" spans="12:13">
      <c r="L225" s="13"/>
      <c r="M225" s="13"/>
    </row>
    <row r="226" spans="12:13">
      <c r="L226" s="13"/>
      <c r="M226" s="13"/>
    </row>
    <row r="227" spans="12:13">
      <c r="L227" s="13"/>
      <c r="M227" s="13"/>
    </row>
    <row r="228" spans="12:13">
      <c r="L228" s="13"/>
      <c r="M228" s="13"/>
    </row>
    <row r="229" spans="12:13">
      <c r="L229" s="13"/>
      <c r="M229" s="13"/>
    </row>
    <row r="230" spans="12:13">
      <c r="L230" s="13"/>
      <c r="M230" s="13"/>
    </row>
    <row r="231" spans="12:13">
      <c r="L231" s="13"/>
      <c r="M231" s="13"/>
    </row>
    <row r="232" spans="12:13">
      <c r="L232" s="13"/>
      <c r="M232" s="13"/>
    </row>
    <row r="233" spans="12:13">
      <c r="L233" s="13"/>
      <c r="M233" s="13"/>
    </row>
    <row r="234" spans="12:13">
      <c r="L234" s="13"/>
      <c r="M234" s="13"/>
    </row>
    <row r="235" spans="12:13">
      <c r="L235" s="13"/>
      <c r="M235" s="13"/>
    </row>
    <row r="236" spans="12:13">
      <c r="L236" s="13"/>
      <c r="M236" s="13"/>
    </row>
    <row r="237" spans="12:13">
      <c r="L237" s="13"/>
      <c r="M237" s="13"/>
    </row>
    <row r="238" spans="12:13">
      <c r="L238" s="13"/>
      <c r="M238" s="13"/>
    </row>
    <row r="239" spans="12:13">
      <c r="L239" s="13"/>
      <c r="M239" s="13"/>
    </row>
    <row r="240" spans="12:13">
      <c r="L240" s="13"/>
      <c r="M240" s="13"/>
    </row>
    <row r="241" spans="12:13">
      <c r="L241" s="13"/>
      <c r="M241" s="13"/>
    </row>
    <row r="242" spans="12:13">
      <c r="L242" s="13"/>
      <c r="M242" s="13"/>
    </row>
    <row r="243" spans="12:13">
      <c r="L243" s="13"/>
      <c r="M243" s="13"/>
    </row>
    <row r="244" spans="12:13">
      <c r="L244" s="13"/>
      <c r="M244" s="13"/>
    </row>
    <row r="245" spans="12:13">
      <c r="L245" s="13"/>
      <c r="M245" s="13"/>
    </row>
    <row r="246" spans="12:13">
      <c r="L246" s="13"/>
      <c r="M246" s="13"/>
    </row>
    <row r="247" spans="12:13">
      <c r="L247" s="13"/>
      <c r="M247" s="13"/>
    </row>
    <row r="248" spans="12:13">
      <c r="L248" s="13"/>
      <c r="M248" s="13"/>
    </row>
    <row r="249" spans="12:13">
      <c r="L249" s="13"/>
      <c r="M249" s="13"/>
    </row>
    <row r="250" spans="12:13">
      <c r="L250" s="13"/>
      <c r="M250" s="13"/>
    </row>
    <row r="251" spans="12:13">
      <c r="L251" s="13"/>
      <c r="M251" s="13"/>
    </row>
    <row r="252" spans="12:13">
      <c r="L252" s="13"/>
      <c r="M252" s="13"/>
    </row>
    <row r="253" spans="12:13">
      <c r="L253" s="13"/>
      <c r="M253" s="13"/>
    </row>
    <row r="254" spans="12:13">
      <c r="L254" s="13"/>
      <c r="M254" s="13"/>
    </row>
    <row r="255" spans="12:13">
      <c r="L255" s="13"/>
      <c r="M255" s="13"/>
    </row>
    <row r="256" spans="12:13">
      <c r="L256" s="13"/>
      <c r="M256" s="13"/>
    </row>
    <row r="257" spans="12:13">
      <c r="L257" s="13"/>
      <c r="M257" s="13"/>
    </row>
    <row r="258" spans="12:13">
      <c r="L258" s="13"/>
      <c r="M258" s="13"/>
    </row>
  </sheetData>
  <mergeCells count="4">
    <mergeCell ref="A5:H5"/>
    <mergeCell ref="A6:H6"/>
    <mergeCell ref="A7:H7"/>
    <mergeCell ref="A9:E9"/>
  </mergeCells>
  <pageMargins left="0.51181102362204722" right="0.51181102362204722" top="0.55118110236220474" bottom="0.74803149606299213" header="0.31496062992125984" footer="0.31496062992125984"/>
  <pageSetup paperSize="5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54"/>
  <sheetViews>
    <sheetView tabSelected="1" topLeftCell="A124" workbookViewId="0">
      <selection activeCell="G179" sqref="G179"/>
    </sheetView>
  </sheetViews>
  <sheetFormatPr baseColWidth="10" defaultColWidth="11.42578125" defaultRowHeight="15"/>
  <cols>
    <col min="1" max="1" width="6.7109375" customWidth="1"/>
    <col min="2" max="2" width="6.85546875" customWidth="1"/>
    <col min="3" max="3" width="7.42578125" bestFit="1" customWidth="1"/>
    <col min="4" max="4" width="5.7109375" customWidth="1"/>
    <col min="5" max="5" width="4.5703125" customWidth="1"/>
    <col min="6" max="6" width="36.7109375" customWidth="1"/>
    <col min="7" max="7" width="15.28515625" customWidth="1"/>
    <col min="8" max="8" width="14.7109375" style="14" customWidth="1"/>
    <col min="9" max="9" width="13.7109375" style="14" customWidth="1"/>
    <col min="10" max="10" width="15.140625" style="14" customWidth="1"/>
    <col min="11" max="11" width="13.85546875" style="14" customWidth="1"/>
    <col min="12" max="12" width="16.7109375" style="14" customWidth="1"/>
    <col min="13" max="13" width="0.140625" hidden="1" customWidth="1"/>
    <col min="14" max="14" width="16.140625" customWidth="1"/>
    <col min="218" max="218" width="4.85546875" bestFit="1" customWidth="1"/>
    <col min="219" max="219" width="5.85546875" bestFit="1" customWidth="1"/>
    <col min="220" max="220" width="7.42578125" bestFit="1" customWidth="1"/>
    <col min="221" max="221" width="8.140625" bestFit="1" customWidth="1"/>
    <col min="222" max="222" width="4.5703125" bestFit="1" customWidth="1"/>
    <col min="223" max="223" width="57.5703125" customWidth="1"/>
    <col min="224" max="224" width="14.28515625" customWidth="1"/>
    <col min="225" max="225" width="0.85546875" customWidth="1"/>
    <col min="226" max="226" width="16.5703125" bestFit="1" customWidth="1"/>
    <col min="227" max="227" width="13.42578125" bestFit="1" customWidth="1"/>
    <col min="474" max="474" width="4.85546875" bestFit="1" customWidth="1"/>
    <col min="475" max="475" width="5.85546875" bestFit="1" customWidth="1"/>
    <col min="476" max="476" width="7.42578125" bestFit="1" customWidth="1"/>
    <col min="477" max="477" width="8.140625" bestFit="1" customWidth="1"/>
    <col min="478" max="478" width="4.5703125" bestFit="1" customWidth="1"/>
    <col min="479" max="479" width="57.5703125" customWidth="1"/>
    <col min="480" max="480" width="14.28515625" customWidth="1"/>
    <col min="481" max="481" width="0.85546875" customWidth="1"/>
    <col min="482" max="482" width="16.5703125" bestFit="1" customWidth="1"/>
    <col min="483" max="483" width="13.42578125" bestFit="1" customWidth="1"/>
    <col min="730" max="730" width="4.85546875" bestFit="1" customWidth="1"/>
    <col min="731" max="731" width="5.85546875" bestFit="1" customWidth="1"/>
    <col min="732" max="732" width="7.42578125" bestFit="1" customWidth="1"/>
    <col min="733" max="733" width="8.140625" bestFit="1" customWidth="1"/>
    <col min="734" max="734" width="4.5703125" bestFit="1" customWidth="1"/>
    <col min="735" max="735" width="57.5703125" customWidth="1"/>
    <col min="736" max="736" width="14.28515625" customWidth="1"/>
    <col min="737" max="737" width="0.85546875" customWidth="1"/>
    <col min="738" max="738" width="16.5703125" bestFit="1" customWidth="1"/>
    <col min="739" max="739" width="13.42578125" bestFit="1" customWidth="1"/>
    <col min="986" max="986" width="4.85546875" bestFit="1" customWidth="1"/>
    <col min="987" max="987" width="5.85546875" bestFit="1" customWidth="1"/>
    <col min="988" max="988" width="7.42578125" bestFit="1" customWidth="1"/>
    <col min="989" max="989" width="8.140625" bestFit="1" customWidth="1"/>
    <col min="990" max="990" width="4.5703125" bestFit="1" customWidth="1"/>
    <col min="991" max="991" width="57.5703125" customWidth="1"/>
    <col min="992" max="992" width="14.28515625" customWidth="1"/>
    <col min="993" max="993" width="0.85546875" customWidth="1"/>
    <col min="994" max="994" width="16.5703125" bestFit="1" customWidth="1"/>
    <col min="995" max="995" width="13.42578125" bestFit="1" customWidth="1"/>
    <col min="1242" max="1242" width="4.85546875" bestFit="1" customWidth="1"/>
    <col min="1243" max="1243" width="5.85546875" bestFit="1" customWidth="1"/>
    <col min="1244" max="1244" width="7.42578125" bestFit="1" customWidth="1"/>
    <col min="1245" max="1245" width="8.140625" bestFit="1" customWidth="1"/>
    <col min="1246" max="1246" width="4.5703125" bestFit="1" customWidth="1"/>
    <col min="1247" max="1247" width="57.5703125" customWidth="1"/>
    <col min="1248" max="1248" width="14.28515625" customWidth="1"/>
    <col min="1249" max="1249" width="0.85546875" customWidth="1"/>
    <col min="1250" max="1250" width="16.5703125" bestFit="1" customWidth="1"/>
    <col min="1251" max="1251" width="13.42578125" bestFit="1" customWidth="1"/>
    <col min="1498" max="1498" width="4.85546875" bestFit="1" customWidth="1"/>
    <col min="1499" max="1499" width="5.85546875" bestFit="1" customWidth="1"/>
    <col min="1500" max="1500" width="7.42578125" bestFit="1" customWidth="1"/>
    <col min="1501" max="1501" width="8.140625" bestFit="1" customWidth="1"/>
    <col min="1502" max="1502" width="4.5703125" bestFit="1" customWidth="1"/>
    <col min="1503" max="1503" width="57.5703125" customWidth="1"/>
    <col min="1504" max="1504" width="14.28515625" customWidth="1"/>
    <col min="1505" max="1505" width="0.85546875" customWidth="1"/>
    <col min="1506" max="1506" width="16.5703125" bestFit="1" customWidth="1"/>
    <col min="1507" max="1507" width="13.42578125" bestFit="1" customWidth="1"/>
    <col min="1754" max="1754" width="4.85546875" bestFit="1" customWidth="1"/>
    <col min="1755" max="1755" width="5.85546875" bestFit="1" customWidth="1"/>
    <col min="1756" max="1756" width="7.42578125" bestFit="1" customWidth="1"/>
    <col min="1757" max="1757" width="8.140625" bestFit="1" customWidth="1"/>
    <col min="1758" max="1758" width="4.5703125" bestFit="1" customWidth="1"/>
    <col min="1759" max="1759" width="57.5703125" customWidth="1"/>
    <col min="1760" max="1760" width="14.28515625" customWidth="1"/>
    <col min="1761" max="1761" width="0.85546875" customWidth="1"/>
    <col min="1762" max="1762" width="16.5703125" bestFit="1" customWidth="1"/>
    <col min="1763" max="1763" width="13.42578125" bestFit="1" customWidth="1"/>
    <col min="2010" max="2010" width="4.85546875" bestFit="1" customWidth="1"/>
    <col min="2011" max="2011" width="5.85546875" bestFit="1" customWidth="1"/>
    <col min="2012" max="2012" width="7.42578125" bestFit="1" customWidth="1"/>
    <col min="2013" max="2013" width="8.140625" bestFit="1" customWidth="1"/>
    <col min="2014" max="2014" width="4.5703125" bestFit="1" customWidth="1"/>
    <col min="2015" max="2015" width="57.5703125" customWidth="1"/>
    <col min="2016" max="2016" width="14.28515625" customWidth="1"/>
    <col min="2017" max="2017" width="0.85546875" customWidth="1"/>
    <col min="2018" max="2018" width="16.5703125" bestFit="1" customWidth="1"/>
    <col min="2019" max="2019" width="13.42578125" bestFit="1" customWidth="1"/>
    <col min="2266" max="2266" width="4.85546875" bestFit="1" customWidth="1"/>
    <col min="2267" max="2267" width="5.85546875" bestFit="1" customWidth="1"/>
    <col min="2268" max="2268" width="7.42578125" bestFit="1" customWidth="1"/>
    <col min="2269" max="2269" width="8.140625" bestFit="1" customWidth="1"/>
    <col min="2270" max="2270" width="4.5703125" bestFit="1" customWidth="1"/>
    <col min="2271" max="2271" width="57.5703125" customWidth="1"/>
    <col min="2272" max="2272" width="14.28515625" customWidth="1"/>
    <col min="2273" max="2273" width="0.85546875" customWidth="1"/>
    <col min="2274" max="2274" width="16.5703125" bestFit="1" customWidth="1"/>
    <col min="2275" max="2275" width="13.42578125" bestFit="1" customWidth="1"/>
    <col min="2522" max="2522" width="4.85546875" bestFit="1" customWidth="1"/>
    <col min="2523" max="2523" width="5.85546875" bestFit="1" customWidth="1"/>
    <col min="2524" max="2524" width="7.42578125" bestFit="1" customWidth="1"/>
    <col min="2525" max="2525" width="8.140625" bestFit="1" customWidth="1"/>
    <col min="2526" max="2526" width="4.5703125" bestFit="1" customWidth="1"/>
    <col min="2527" max="2527" width="57.5703125" customWidth="1"/>
    <col min="2528" max="2528" width="14.28515625" customWidth="1"/>
    <col min="2529" max="2529" width="0.85546875" customWidth="1"/>
    <col min="2530" max="2530" width="16.5703125" bestFit="1" customWidth="1"/>
    <col min="2531" max="2531" width="13.42578125" bestFit="1" customWidth="1"/>
    <col min="2778" max="2778" width="4.85546875" bestFit="1" customWidth="1"/>
    <col min="2779" max="2779" width="5.85546875" bestFit="1" customWidth="1"/>
    <col min="2780" max="2780" width="7.42578125" bestFit="1" customWidth="1"/>
    <col min="2781" max="2781" width="8.140625" bestFit="1" customWidth="1"/>
    <col min="2782" max="2782" width="4.5703125" bestFit="1" customWidth="1"/>
    <col min="2783" max="2783" width="57.5703125" customWidth="1"/>
    <col min="2784" max="2784" width="14.28515625" customWidth="1"/>
    <col min="2785" max="2785" width="0.85546875" customWidth="1"/>
    <col min="2786" max="2786" width="16.5703125" bestFit="1" customWidth="1"/>
    <col min="2787" max="2787" width="13.42578125" bestFit="1" customWidth="1"/>
    <col min="3034" max="3034" width="4.85546875" bestFit="1" customWidth="1"/>
    <col min="3035" max="3035" width="5.85546875" bestFit="1" customWidth="1"/>
    <col min="3036" max="3036" width="7.42578125" bestFit="1" customWidth="1"/>
    <col min="3037" max="3037" width="8.140625" bestFit="1" customWidth="1"/>
    <col min="3038" max="3038" width="4.5703125" bestFit="1" customWidth="1"/>
    <col min="3039" max="3039" width="57.5703125" customWidth="1"/>
    <col min="3040" max="3040" width="14.28515625" customWidth="1"/>
    <col min="3041" max="3041" width="0.85546875" customWidth="1"/>
    <col min="3042" max="3042" width="16.5703125" bestFit="1" customWidth="1"/>
    <col min="3043" max="3043" width="13.42578125" bestFit="1" customWidth="1"/>
    <col min="3290" max="3290" width="4.85546875" bestFit="1" customWidth="1"/>
    <col min="3291" max="3291" width="5.85546875" bestFit="1" customWidth="1"/>
    <col min="3292" max="3292" width="7.42578125" bestFit="1" customWidth="1"/>
    <col min="3293" max="3293" width="8.140625" bestFit="1" customWidth="1"/>
    <col min="3294" max="3294" width="4.5703125" bestFit="1" customWidth="1"/>
    <col min="3295" max="3295" width="57.5703125" customWidth="1"/>
    <col min="3296" max="3296" width="14.28515625" customWidth="1"/>
    <col min="3297" max="3297" width="0.85546875" customWidth="1"/>
    <col min="3298" max="3298" width="16.5703125" bestFit="1" customWidth="1"/>
    <col min="3299" max="3299" width="13.42578125" bestFit="1" customWidth="1"/>
    <col min="3546" max="3546" width="4.85546875" bestFit="1" customWidth="1"/>
    <col min="3547" max="3547" width="5.85546875" bestFit="1" customWidth="1"/>
    <col min="3548" max="3548" width="7.42578125" bestFit="1" customWidth="1"/>
    <col min="3549" max="3549" width="8.140625" bestFit="1" customWidth="1"/>
    <col min="3550" max="3550" width="4.5703125" bestFit="1" customWidth="1"/>
    <col min="3551" max="3551" width="57.5703125" customWidth="1"/>
    <col min="3552" max="3552" width="14.28515625" customWidth="1"/>
    <col min="3553" max="3553" width="0.85546875" customWidth="1"/>
    <col min="3554" max="3554" width="16.5703125" bestFit="1" customWidth="1"/>
    <col min="3555" max="3555" width="13.42578125" bestFit="1" customWidth="1"/>
    <col min="3802" max="3802" width="4.85546875" bestFit="1" customWidth="1"/>
    <col min="3803" max="3803" width="5.85546875" bestFit="1" customWidth="1"/>
    <col min="3804" max="3804" width="7.42578125" bestFit="1" customWidth="1"/>
    <col min="3805" max="3805" width="8.140625" bestFit="1" customWidth="1"/>
    <col min="3806" max="3806" width="4.5703125" bestFit="1" customWidth="1"/>
    <col min="3807" max="3807" width="57.5703125" customWidth="1"/>
    <col min="3808" max="3808" width="14.28515625" customWidth="1"/>
    <col min="3809" max="3809" width="0.85546875" customWidth="1"/>
    <col min="3810" max="3810" width="16.5703125" bestFit="1" customWidth="1"/>
    <col min="3811" max="3811" width="13.42578125" bestFit="1" customWidth="1"/>
    <col min="4058" max="4058" width="4.85546875" bestFit="1" customWidth="1"/>
    <col min="4059" max="4059" width="5.85546875" bestFit="1" customWidth="1"/>
    <col min="4060" max="4060" width="7.42578125" bestFit="1" customWidth="1"/>
    <col min="4061" max="4061" width="8.140625" bestFit="1" customWidth="1"/>
    <col min="4062" max="4062" width="4.5703125" bestFit="1" customWidth="1"/>
    <col min="4063" max="4063" width="57.5703125" customWidth="1"/>
    <col min="4064" max="4064" width="14.28515625" customWidth="1"/>
    <col min="4065" max="4065" width="0.85546875" customWidth="1"/>
    <col min="4066" max="4066" width="16.5703125" bestFit="1" customWidth="1"/>
    <col min="4067" max="4067" width="13.42578125" bestFit="1" customWidth="1"/>
    <col min="4314" max="4314" width="4.85546875" bestFit="1" customWidth="1"/>
    <col min="4315" max="4315" width="5.85546875" bestFit="1" customWidth="1"/>
    <col min="4316" max="4316" width="7.42578125" bestFit="1" customWidth="1"/>
    <col min="4317" max="4317" width="8.140625" bestFit="1" customWidth="1"/>
    <col min="4318" max="4318" width="4.5703125" bestFit="1" customWidth="1"/>
    <col min="4319" max="4319" width="57.5703125" customWidth="1"/>
    <col min="4320" max="4320" width="14.28515625" customWidth="1"/>
    <col min="4321" max="4321" width="0.85546875" customWidth="1"/>
    <col min="4322" max="4322" width="16.5703125" bestFit="1" customWidth="1"/>
    <col min="4323" max="4323" width="13.42578125" bestFit="1" customWidth="1"/>
    <col min="4570" max="4570" width="4.85546875" bestFit="1" customWidth="1"/>
    <col min="4571" max="4571" width="5.85546875" bestFit="1" customWidth="1"/>
    <col min="4572" max="4572" width="7.42578125" bestFit="1" customWidth="1"/>
    <col min="4573" max="4573" width="8.140625" bestFit="1" customWidth="1"/>
    <col min="4574" max="4574" width="4.5703125" bestFit="1" customWidth="1"/>
    <col min="4575" max="4575" width="57.5703125" customWidth="1"/>
    <col min="4576" max="4576" width="14.28515625" customWidth="1"/>
    <col min="4577" max="4577" width="0.85546875" customWidth="1"/>
    <col min="4578" max="4578" width="16.5703125" bestFit="1" customWidth="1"/>
    <col min="4579" max="4579" width="13.42578125" bestFit="1" customWidth="1"/>
    <col min="4826" max="4826" width="4.85546875" bestFit="1" customWidth="1"/>
    <col min="4827" max="4827" width="5.85546875" bestFit="1" customWidth="1"/>
    <col min="4828" max="4828" width="7.42578125" bestFit="1" customWidth="1"/>
    <col min="4829" max="4829" width="8.140625" bestFit="1" customWidth="1"/>
    <col min="4830" max="4830" width="4.5703125" bestFit="1" customWidth="1"/>
    <col min="4831" max="4831" width="57.5703125" customWidth="1"/>
    <col min="4832" max="4832" width="14.28515625" customWidth="1"/>
    <col min="4833" max="4833" width="0.85546875" customWidth="1"/>
    <col min="4834" max="4834" width="16.5703125" bestFit="1" customWidth="1"/>
    <col min="4835" max="4835" width="13.42578125" bestFit="1" customWidth="1"/>
    <col min="5082" max="5082" width="4.85546875" bestFit="1" customWidth="1"/>
    <col min="5083" max="5083" width="5.85546875" bestFit="1" customWidth="1"/>
    <col min="5084" max="5084" width="7.42578125" bestFit="1" customWidth="1"/>
    <col min="5085" max="5085" width="8.140625" bestFit="1" customWidth="1"/>
    <col min="5086" max="5086" width="4.5703125" bestFit="1" customWidth="1"/>
    <col min="5087" max="5087" width="57.5703125" customWidth="1"/>
    <col min="5088" max="5088" width="14.28515625" customWidth="1"/>
    <col min="5089" max="5089" width="0.85546875" customWidth="1"/>
    <col min="5090" max="5090" width="16.5703125" bestFit="1" customWidth="1"/>
    <col min="5091" max="5091" width="13.42578125" bestFit="1" customWidth="1"/>
    <col min="5338" max="5338" width="4.85546875" bestFit="1" customWidth="1"/>
    <col min="5339" max="5339" width="5.85546875" bestFit="1" customWidth="1"/>
    <col min="5340" max="5340" width="7.42578125" bestFit="1" customWidth="1"/>
    <col min="5341" max="5341" width="8.140625" bestFit="1" customWidth="1"/>
    <col min="5342" max="5342" width="4.5703125" bestFit="1" customWidth="1"/>
    <col min="5343" max="5343" width="57.5703125" customWidth="1"/>
    <col min="5344" max="5344" width="14.28515625" customWidth="1"/>
    <col min="5345" max="5345" width="0.85546875" customWidth="1"/>
    <col min="5346" max="5346" width="16.5703125" bestFit="1" customWidth="1"/>
    <col min="5347" max="5347" width="13.42578125" bestFit="1" customWidth="1"/>
    <col min="5594" max="5594" width="4.85546875" bestFit="1" customWidth="1"/>
    <col min="5595" max="5595" width="5.85546875" bestFit="1" customWidth="1"/>
    <col min="5596" max="5596" width="7.42578125" bestFit="1" customWidth="1"/>
    <col min="5597" max="5597" width="8.140625" bestFit="1" customWidth="1"/>
    <col min="5598" max="5598" width="4.5703125" bestFit="1" customWidth="1"/>
    <col min="5599" max="5599" width="57.5703125" customWidth="1"/>
    <col min="5600" max="5600" width="14.28515625" customWidth="1"/>
    <col min="5601" max="5601" width="0.85546875" customWidth="1"/>
    <col min="5602" max="5602" width="16.5703125" bestFit="1" customWidth="1"/>
    <col min="5603" max="5603" width="13.42578125" bestFit="1" customWidth="1"/>
    <col min="5850" max="5850" width="4.85546875" bestFit="1" customWidth="1"/>
    <col min="5851" max="5851" width="5.85546875" bestFit="1" customWidth="1"/>
    <col min="5852" max="5852" width="7.42578125" bestFit="1" customWidth="1"/>
    <col min="5853" max="5853" width="8.140625" bestFit="1" customWidth="1"/>
    <col min="5854" max="5854" width="4.5703125" bestFit="1" customWidth="1"/>
    <col min="5855" max="5855" width="57.5703125" customWidth="1"/>
    <col min="5856" max="5856" width="14.28515625" customWidth="1"/>
    <col min="5857" max="5857" width="0.85546875" customWidth="1"/>
    <col min="5858" max="5858" width="16.5703125" bestFit="1" customWidth="1"/>
    <col min="5859" max="5859" width="13.42578125" bestFit="1" customWidth="1"/>
    <col min="6106" max="6106" width="4.85546875" bestFit="1" customWidth="1"/>
    <col min="6107" max="6107" width="5.85546875" bestFit="1" customWidth="1"/>
    <col min="6108" max="6108" width="7.42578125" bestFit="1" customWidth="1"/>
    <col min="6109" max="6109" width="8.140625" bestFit="1" customWidth="1"/>
    <col min="6110" max="6110" width="4.5703125" bestFit="1" customWidth="1"/>
    <col min="6111" max="6111" width="57.5703125" customWidth="1"/>
    <col min="6112" max="6112" width="14.28515625" customWidth="1"/>
    <col min="6113" max="6113" width="0.85546875" customWidth="1"/>
    <col min="6114" max="6114" width="16.5703125" bestFit="1" customWidth="1"/>
    <col min="6115" max="6115" width="13.42578125" bestFit="1" customWidth="1"/>
    <col min="6362" max="6362" width="4.85546875" bestFit="1" customWidth="1"/>
    <col min="6363" max="6363" width="5.85546875" bestFit="1" customWidth="1"/>
    <col min="6364" max="6364" width="7.42578125" bestFit="1" customWidth="1"/>
    <col min="6365" max="6365" width="8.140625" bestFit="1" customWidth="1"/>
    <col min="6366" max="6366" width="4.5703125" bestFit="1" customWidth="1"/>
    <col min="6367" max="6367" width="57.5703125" customWidth="1"/>
    <col min="6368" max="6368" width="14.28515625" customWidth="1"/>
    <col min="6369" max="6369" width="0.85546875" customWidth="1"/>
    <col min="6370" max="6370" width="16.5703125" bestFit="1" customWidth="1"/>
    <col min="6371" max="6371" width="13.42578125" bestFit="1" customWidth="1"/>
    <col min="6618" max="6618" width="4.85546875" bestFit="1" customWidth="1"/>
    <col min="6619" max="6619" width="5.85546875" bestFit="1" customWidth="1"/>
    <col min="6620" max="6620" width="7.42578125" bestFit="1" customWidth="1"/>
    <col min="6621" max="6621" width="8.140625" bestFit="1" customWidth="1"/>
    <col min="6622" max="6622" width="4.5703125" bestFit="1" customWidth="1"/>
    <col min="6623" max="6623" width="57.5703125" customWidth="1"/>
    <col min="6624" max="6624" width="14.28515625" customWidth="1"/>
    <col min="6625" max="6625" width="0.85546875" customWidth="1"/>
    <col min="6626" max="6626" width="16.5703125" bestFit="1" customWidth="1"/>
    <col min="6627" max="6627" width="13.42578125" bestFit="1" customWidth="1"/>
    <col min="6874" max="6874" width="4.85546875" bestFit="1" customWidth="1"/>
    <col min="6875" max="6875" width="5.85546875" bestFit="1" customWidth="1"/>
    <col min="6876" max="6876" width="7.42578125" bestFit="1" customWidth="1"/>
    <col min="6877" max="6877" width="8.140625" bestFit="1" customWidth="1"/>
    <col min="6878" max="6878" width="4.5703125" bestFit="1" customWidth="1"/>
    <col min="6879" max="6879" width="57.5703125" customWidth="1"/>
    <col min="6880" max="6880" width="14.28515625" customWidth="1"/>
    <col min="6881" max="6881" width="0.85546875" customWidth="1"/>
    <col min="6882" max="6882" width="16.5703125" bestFit="1" customWidth="1"/>
    <col min="6883" max="6883" width="13.42578125" bestFit="1" customWidth="1"/>
    <col min="7130" max="7130" width="4.85546875" bestFit="1" customWidth="1"/>
    <col min="7131" max="7131" width="5.85546875" bestFit="1" customWidth="1"/>
    <col min="7132" max="7132" width="7.42578125" bestFit="1" customWidth="1"/>
    <col min="7133" max="7133" width="8.140625" bestFit="1" customWidth="1"/>
    <col min="7134" max="7134" width="4.5703125" bestFit="1" customWidth="1"/>
    <col min="7135" max="7135" width="57.5703125" customWidth="1"/>
    <col min="7136" max="7136" width="14.28515625" customWidth="1"/>
    <col min="7137" max="7137" width="0.85546875" customWidth="1"/>
    <col min="7138" max="7138" width="16.5703125" bestFit="1" customWidth="1"/>
    <col min="7139" max="7139" width="13.42578125" bestFit="1" customWidth="1"/>
    <col min="7386" max="7386" width="4.85546875" bestFit="1" customWidth="1"/>
    <col min="7387" max="7387" width="5.85546875" bestFit="1" customWidth="1"/>
    <col min="7388" max="7388" width="7.42578125" bestFit="1" customWidth="1"/>
    <col min="7389" max="7389" width="8.140625" bestFit="1" customWidth="1"/>
    <col min="7390" max="7390" width="4.5703125" bestFit="1" customWidth="1"/>
    <col min="7391" max="7391" width="57.5703125" customWidth="1"/>
    <col min="7392" max="7392" width="14.28515625" customWidth="1"/>
    <col min="7393" max="7393" width="0.85546875" customWidth="1"/>
    <col min="7394" max="7394" width="16.5703125" bestFit="1" customWidth="1"/>
    <col min="7395" max="7395" width="13.42578125" bestFit="1" customWidth="1"/>
    <col min="7642" max="7642" width="4.85546875" bestFit="1" customWidth="1"/>
    <col min="7643" max="7643" width="5.85546875" bestFit="1" customWidth="1"/>
    <col min="7644" max="7644" width="7.42578125" bestFit="1" customWidth="1"/>
    <col min="7645" max="7645" width="8.140625" bestFit="1" customWidth="1"/>
    <col min="7646" max="7646" width="4.5703125" bestFit="1" customWidth="1"/>
    <col min="7647" max="7647" width="57.5703125" customWidth="1"/>
    <col min="7648" max="7648" width="14.28515625" customWidth="1"/>
    <col min="7649" max="7649" width="0.85546875" customWidth="1"/>
    <col min="7650" max="7650" width="16.5703125" bestFit="1" customWidth="1"/>
    <col min="7651" max="7651" width="13.42578125" bestFit="1" customWidth="1"/>
    <col min="7898" max="7898" width="4.85546875" bestFit="1" customWidth="1"/>
    <col min="7899" max="7899" width="5.85546875" bestFit="1" customWidth="1"/>
    <col min="7900" max="7900" width="7.42578125" bestFit="1" customWidth="1"/>
    <col min="7901" max="7901" width="8.140625" bestFit="1" customWidth="1"/>
    <col min="7902" max="7902" width="4.5703125" bestFit="1" customWidth="1"/>
    <col min="7903" max="7903" width="57.5703125" customWidth="1"/>
    <col min="7904" max="7904" width="14.28515625" customWidth="1"/>
    <col min="7905" max="7905" width="0.85546875" customWidth="1"/>
    <col min="7906" max="7906" width="16.5703125" bestFit="1" customWidth="1"/>
    <col min="7907" max="7907" width="13.42578125" bestFit="1" customWidth="1"/>
    <col min="8154" max="8154" width="4.85546875" bestFit="1" customWidth="1"/>
    <col min="8155" max="8155" width="5.85546875" bestFit="1" customWidth="1"/>
    <col min="8156" max="8156" width="7.42578125" bestFit="1" customWidth="1"/>
    <col min="8157" max="8157" width="8.140625" bestFit="1" customWidth="1"/>
    <col min="8158" max="8158" width="4.5703125" bestFit="1" customWidth="1"/>
    <col min="8159" max="8159" width="57.5703125" customWidth="1"/>
    <col min="8160" max="8160" width="14.28515625" customWidth="1"/>
    <col min="8161" max="8161" width="0.85546875" customWidth="1"/>
    <col min="8162" max="8162" width="16.5703125" bestFit="1" customWidth="1"/>
    <col min="8163" max="8163" width="13.42578125" bestFit="1" customWidth="1"/>
    <col min="8410" max="8410" width="4.85546875" bestFit="1" customWidth="1"/>
    <col min="8411" max="8411" width="5.85546875" bestFit="1" customWidth="1"/>
    <col min="8412" max="8412" width="7.42578125" bestFit="1" customWidth="1"/>
    <col min="8413" max="8413" width="8.140625" bestFit="1" customWidth="1"/>
    <col min="8414" max="8414" width="4.5703125" bestFit="1" customWidth="1"/>
    <col min="8415" max="8415" width="57.5703125" customWidth="1"/>
    <col min="8416" max="8416" width="14.28515625" customWidth="1"/>
    <col min="8417" max="8417" width="0.85546875" customWidth="1"/>
    <col min="8418" max="8418" width="16.5703125" bestFit="1" customWidth="1"/>
    <col min="8419" max="8419" width="13.42578125" bestFit="1" customWidth="1"/>
    <col min="8666" max="8666" width="4.85546875" bestFit="1" customWidth="1"/>
    <col min="8667" max="8667" width="5.85546875" bestFit="1" customWidth="1"/>
    <col min="8668" max="8668" width="7.42578125" bestFit="1" customWidth="1"/>
    <col min="8669" max="8669" width="8.140625" bestFit="1" customWidth="1"/>
    <col min="8670" max="8670" width="4.5703125" bestFit="1" customWidth="1"/>
    <col min="8671" max="8671" width="57.5703125" customWidth="1"/>
    <col min="8672" max="8672" width="14.28515625" customWidth="1"/>
    <col min="8673" max="8673" width="0.85546875" customWidth="1"/>
    <col min="8674" max="8674" width="16.5703125" bestFit="1" customWidth="1"/>
    <col min="8675" max="8675" width="13.42578125" bestFit="1" customWidth="1"/>
    <col min="8922" max="8922" width="4.85546875" bestFit="1" customWidth="1"/>
    <col min="8923" max="8923" width="5.85546875" bestFit="1" customWidth="1"/>
    <col min="8924" max="8924" width="7.42578125" bestFit="1" customWidth="1"/>
    <col min="8925" max="8925" width="8.140625" bestFit="1" customWidth="1"/>
    <col min="8926" max="8926" width="4.5703125" bestFit="1" customWidth="1"/>
    <col min="8927" max="8927" width="57.5703125" customWidth="1"/>
    <col min="8928" max="8928" width="14.28515625" customWidth="1"/>
    <col min="8929" max="8929" width="0.85546875" customWidth="1"/>
    <col min="8930" max="8930" width="16.5703125" bestFit="1" customWidth="1"/>
    <col min="8931" max="8931" width="13.42578125" bestFit="1" customWidth="1"/>
    <col min="9178" max="9178" width="4.85546875" bestFit="1" customWidth="1"/>
    <col min="9179" max="9179" width="5.85546875" bestFit="1" customWidth="1"/>
    <col min="9180" max="9180" width="7.42578125" bestFit="1" customWidth="1"/>
    <col min="9181" max="9181" width="8.140625" bestFit="1" customWidth="1"/>
    <col min="9182" max="9182" width="4.5703125" bestFit="1" customWidth="1"/>
    <col min="9183" max="9183" width="57.5703125" customWidth="1"/>
    <col min="9184" max="9184" width="14.28515625" customWidth="1"/>
    <col min="9185" max="9185" width="0.85546875" customWidth="1"/>
    <col min="9186" max="9186" width="16.5703125" bestFit="1" customWidth="1"/>
    <col min="9187" max="9187" width="13.42578125" bestFit="1" customWidth="1"/>
    <col min="9434" max="9434" width="4.85546875" bestFit="1" customWidth="1"/>
    <col min="9435" max="9435" width="5.85546875" bestFit="1" customWidth="1"/>
    <col min="9436" max="9436" width="7.42578125" bestFit="1" customWidth="1"/>
    <col min="9437" max="9437" width="8.140625" bestFit="1" customWidth="1"/>
    <col min="9438" max="9438" width="4.5703125" bestFit="1" customWidth="1"/>
    <col min="9439" max="9439" width="57.5703125" customWidth="1"/>
    <col min="9440" max="9440" width="14.28515625" customWidth="1"/>
    <col min="9441" max="9441" width="0.85546875" customWidth="1"/>
    <col min="9442" max="9442" width="16.5703125" bestFit="1" customWidth="1"/>
    <col min="9443" max="9443" width="13.42578125" bestFit="1" customWidth="1"/>
    <col min="9690" max="9690" width="4.85546875" bestFit="1" customWidth="1"/>
    <col min="9691" max="9691" width="5.85546875" bestFit="1" customWidth="1"/>
    <col min="9692" max="9692" width="7.42578125" bestFit="1" customWidth="1"/>
    <col min="9693" max="9693" width="8.140625" bestFit="1" customWidth="1"/>
    <col min="9694" max="9694" width="4.5703125" bestFit="1" customWidth="1"/>
    <col min="9695" max="9695" width="57.5703125" customWidth="1"/>
    <col min="9696" max="9696" width="14.28515625" customWidth="1"/>
    <col min="9697" max="9697" width="0.85546875" customWidth="1"/>
    <col min="9698" max="9698" width="16.5703125" bestFit="1" customWidth="1"/>
    <col min="9699" max="9699" width="13.42578125" bestFit="1" customWidth="1"/>
    <col min="9946" max="9946" width="4.85546875" bestFit="1" customWidth="1"/>
    <col min="9947" max="9947" width="5.85546875" bestFit="1" customWidth="1"/>
    <col min="9948" max="9948" width="7.42578125" bestFit="1" customWidth="1"/>
    <col min="9949" max="9949" width="8.140625" bestFit="1" customWidth="1"/>
    <col min="9950" max="9950" width="4.5703125" bestFit="1" customWidth="1"/>
    <col min="9951" max="9951" width="57.5703125" customWidth="1"/>
    <col min="9952" max="9952" width="14.28515625" customWidth="1"/>
    <col min="9953" max="9953" width="0.85546875" customWidth="1"/>
    <col min="9954" max="9954" width="16.5703125" bestFit="1" customWidth="1"/>
    <col min="9955" max="9955" width="13.42578125" bestFit="1" customWidth="1"/>
    <col min="10202" max="10202" width="4.85546875" bestFit="1" customWidth="1"/>
    <col min="10203" max="10203" width="5.85546875" bestFit="1" customWidth="1"/>
    <col min="10204" max="10204" width="7.42578125" bestFit="1" customWidth="1"/>
    <col min="10205" max="10205" width="8.140625" bestFit="1" customWidth="1"/>
    <col min="10206" max="10206" width="4.5703125" bestFit="1" customWidth="1"/>
    <col min="10207" max="10207" width="57.5703125" customWidth="1"/>
    <col min="10208" max="10208" width="14.28515625" customWidth="1"/>
    <col min="10209" max="10209" width="0.85546875" customWidth="1"/>
    <col min="10210" max="10210" width="16.5703125" bestFit="1" customWidth="1"/>
    <col min="10211" max="10211" width="13.42578125" bestFit="1" customWidth="1"/>
    <col min="10458" max="10458" width="4.85546875" bestFit="1" customWidth="1"/>
    <col min="10459" max="10459" width="5.85546875" bestFit="1" customWidth="1"/>
    <col min="10460" max="10460" width="7.42578125" bestFit="1" customWidth="1"/>
    <col min="10461" max="10461" width="8.140625" bestFit="1" customWidth="1"/>
    <col min="10462" max="10462" width="4.5703125" bestFit="1" customWidth="1"/>
    <col min="10463" max="10463" width="57.5703125" customWidth="1"/>
    <col min="10464" max="10464" width="14.28515625" customWidth="1"/>
    <col min="10465" max="10465" width="0.85546875" customWidth="1"/>
    <col min="10466" max="10466" width="16.5703125" bestFit="1" customWidth="1"/>
    <col min="10467" max="10467" width="13.42578125" bestFit="1" customWidth="1"/>
    <col min="10714" max="10714" width="4.85546875" bestFit="1" customWidth="1"/>
    <col min="10715" max="10715" width="5.85546875" bestFit="1" customWidth="1"/>
    <col min="10716" max="10716" width="7.42578125" bestFit="1" customWidth="1"/>
    <col min="10717" max="10717" width="8.140625" bestFit="1" customWidth="1"/>
    <col min="10718" max="10718" width="4.5703125" bestFit="1" customWidth="1"/>
    <col min="10719" max="10719" width="57.5703125" customWidth="1"/>
    <col min="10720" max="10720" width="14.28515625" customWidth="1"/>
    <col min="10721" max="10721" width="0.85546875" customWidth="1"/>
    <col min="10722" max="10722" width="16.5703125" bestFit="1" customWidth="1"/>
    <col min="10723" max="10723" width="13.42578125" bestFit="1" customWidth="1"/>
    <col min="10970" max="10970" width="4.85546875" bestFit="1" customWidth="1"/>
    <col min="10971" max="10971" width="5.85546875" bestFit="1" customWidth="1"/>
    <col min="10972" max="10972" width="7.42578125" bestFit="1" customWidth="1"/>
    <col min="10973" max="10973" width="8.140625" bestFit="1" customWidth="1"/>
    <col min="10974" max="10974" width="4.5703125" bestFit="1" customWidth="1"/>
    <col min="10975" max="10975" width="57.5703125" customWidth="1"/>
    <col min="10976" max="10976" width="14.28515625" customWidth="1"/>
    <col min="10977" max="10977" width="0.85546875" customWidth="1"/>
    <col min="10978" max="10978" width="16.5703125" bestFit="1" customWidth="1"/>
    <col min="10979" max="10979" width="13.42578125" bestFit="1" customWidth="1"/>
    <col min="11226" max="11226" width="4.85546875" bestFit="1" customWidth="1"/>
    <col min="11227" max="11227" width="5.85546875" bestFit="1" customWidth="1"/>
    <col min="11228" max="11228" width="7.42578125" bestFit="1" customWidth="1"/>
    <col min="11229" max="11229" width="8.140625" bestFit="1" customWidth="1"/>
    <col min="11230" max="11230" width="4.5703125" bestFit="1" customWidth="1"/>
    <col min="11231" max="11231" width="57.5703125" customWidth="1"/>
    <col min="11232" max="11232" width="14.28515625" customWidth="1"/>
    <col min="11233" max="11233" width="0.85546875" customWidth="1"/>
    <col min="11234" max="11234" width="16.5703125" bestFit="1" customWidth="1"/>
    <col min="11235" max="11235" width="13.42578125" bestFit="1" customWidth="1"/>
    <col min="11482" max="11482" width="4.85546875" bestFit="1" customWidth="1"/>
    <col min="11483" max="11483" width="5.85546875" bestFit="1" customWidth="1"/>
    <col min="11484" max="11484" width="7.42578125" bestFit="1" customWidth="1"/>
    <col min="11485" max="11485" width="8.140625" bestFit="1" customWidth="1"/>
    <col min="11486" max="11486" width="4.5703125" bestFit="1" customWidth="1"/>
    <col min="11487" max="11487" width="57.5703125" customWidth="1"/>
    <col min="11488" max="11488" width="14.28515625" customWidth="1"/>
    <col min="11489" max="11489" width="0.85546875" customWidth="1"/>
    <col min="11490" max="11490" width="16.5703125" bestFit="1" customWidth="1"/>
    <col min="11491" max="11491" width="13.42578125" bestFit="1" customWidth="1"/>
    <col min="11738" max="11738" width="4.85546875" bestFit="1" customWidth="1"/>
    <col min="11739" max="11739" width="5.85546875" bestFit="1" customWidth="1"/>
    <col min="11740" max="11740" width="7.42578125" bestFit="1" customWidth="1"/>
    <col min="11741" max="11741" width="8.140625" bestFit="1" customWidth="1"/>
    <col min="11742" max="11742" width="4.5703125" bestFit="1" customWidth="1"/>
    <col min="11743" max="11743" width="57.5703125" customWidth="1"/>
    <col min="11744" max="11744" width="14.28515625" customWidth="1"/>
    <col min="11745" max="11745" width="0.85546875" customWidth="1"/>
    <col min="11746" max="11746" width="16.5703125" bestFit="1" customWidth="1"/>
    <col min="11747" max="11747" width="13.42578125" bestFit="1" customWidth="1"/>
    <col min="11994" max="11994" width="4.85546875" bestFit="1" customWidth="1"/>
    <col min="11995" max="11995" width="5.85546875" bestFit="1" customWidth="1"/>
    <col min="11996" max="11996" width="7.42578125" bestFit="1" customWidth="1"/>
    <col min="11997" max="11997" width="8.140625" bestFit="1" customWidth="1"/>
    <col min="11998" max="11998" width="4.5703125" bestFit="1" customWidth="1"/>
    <col min="11999" max="11999" width="57.5703125" customWidth="1"/>
    <col min="12000" max="12000" width="14.28515625" customWidth="1"/>
    <col min="12001" max="12001" width="0.85546875" customWidth="1"/>
    <col min="12002" max="12002" width="16.5703125" bestFit="1" customWidth="1"/>
    <col min="12003" max="12003" width="13.42578125" bestFit="1" customWidth="1"/>
    <col min="12250" max="12250" width="4.85546875" bestFit="1" customWidth="1"/>
    <col min="12251" max="12251" width="5.85546875" bestFit="1" customWidth="1"/>
    <col min="12252" max="12252" width="7.42578125" bestFit="1" customWidth="1"/>
    <col min="12253" max="12253" width="8.140625" bestFit="1" customWidth="1"/>
    <col min="12254" max="12254" width="4.5703125" bestFit="1" customWidth="1"/>
    <col min="12255" max="12255" width="57.5703125" customWidth="1"/>
    <col min="12256" max="12256" width="14.28515625" customWidth="1"/>
    <col min="12257" max="12257" width="0.85546875" customWidth="1"/>
    <col min="12258" max="12258" width="16.5703125" bestFit="1" customWidth="1"/>
    <col min="12259" max="12259" width="13.42578125" bestFit="1" customWidth="1"/>
    <col min="12506" max="12506" width="4.85546875" bestFit="1" customWidth="1"/>
    <col min="12507" max="12507" width="5.85546875" bestFit="1" customWidth="1"/>
    <col min="12508" max="12508" width="7.42578125" bestFit="1" customWidth="1"/>
    <col min="12509" max="12509" width="8.140625" bestFit="1" customWidth="1"/>
    <col min="12510" max="12510" width="4.5703125" bestFit="1" customWidth="1"/>
    <col min="12511" max="12511" width="57.5703125" customWidth="1"/>
    <col min="12512" max="12512" width="14.28515625" customWidth="1"/>
    <col min="12513" max="12513" width="0.85546875" customWidth="1"/>
    <col min="12514" max="12514" width="16.5703125" bestFit="1" customWidth="1"/>
    <col min="12515" max="12515" width="13.42578125" bestFit="1" customWidth="1"/>
    <col min="12762" max="12762" width="4.85546875" bestFit="1" customWidth="1"/>
    <col min="12763" max="12763" width="5.85546875" bestFit="1" customWidth="1"/>
    <col min="12764" max="12764" width="7.42578125" bestFit="1" customWidth="1"/>
    <col min="12765" max="12765" width="8.140625" bestFit="1" customWidth="1"/>
    <col min="12766" max="12766" width="4.5703125" bestFit="1" customWidth="1"/>
    <col min="12767" max="12767" width="57.5703125" customWidth="1"/>
    <col min="12768" max="12768" width="14.28515625" customWidth="1"/>
    <col min="12769" max="12769" width="0.85546875" customWidth="1"/>
    <col min="12770" max="12770" width="16.5703125" bestFit="1" customWidth="1"/>
    <col min="12771" max="12771" width="13.42578125" bestFit="1" customWidth="1"/>
    <col min="13018" max="13018" width="4.85546875" bestFit="1" customWidth="1"/>
    <col min="13019" max="13019" width="5.85546875" bestFit="1" customWidth="1"/>
    <col min="13020" max="13020" width="7.42578125" bestFit="1" customWidth="1"/>
    <col min="13021" max="13021" width="8.140625" bestFit="1" customWidth="1"/>
    <col min="13022" max="13022" width="4.5703125" bestFit="1" customWidth="1"/>
    <col min="13023" max="13023" width="57.5703125" customWidth="1"/>
    <col min="13024" max="13024" width="14.28515625" customWidth="1"/>
    <col min="13025" max="13025" width="0.85546875" customWidth="1"/>
    <col min="13026" max="13026" width="16.5703125" bestFit="1" customWidth="1"/>
    <col min="13027" max="13027" width="13.42578125" bestFit="1" customWidth="1"/>
    <col min="13274" max="13274" width="4.85546875" bestFit="1" customWidth="1"/>
    <col min="13275" max="13275" width="5.85546875" bestFit="1" customWidth="1"/>
    <col min="13276" max="13276" width="7.42578125" bestFit="1" customWidth="1"/>
    <col min="13277" max="13277" width="8.140625" bestFit="1" customWidth="1"/>
    <col min="13278" max="13278" width="4.5703125" bestFit="1" customWidth="1"/>
    <col min="13279" max="13279" width="57.5703125" customWidth="1"/>
    <col min="13280" max="13280" width="14.28515625" customWidth="1"/>
    <col min="13281" max="13281" width="0.85546875" customWidth="1"/>
    <col min="13282" max="13282" width="16.5703125" bestFit="1" customWidth="1"/>
    <col min="13283" max="13283" width="13.42578125" bestFit="1" customWidth="1"/>
    <col min="13530" max="13530" width="4.85546875" bestFit="1" customWidth="1"/>
    <col min="13531" max="13531" width="5.85546875" bestFit="1" customWidth="1"/>
    <col min="13532" max="13532" width="7.42578125" bestFit="1" customWidth="1"/>
    <col min="13533" max="13533" width="8.140625" bestFit="1" customWidth="1"/>
    <col min="13534" max="13534" width="4.5703125" bestFit="1" customWidth="1"/>
    <col min="13535" max="13535" width="57.5703125" customWidth="1"/>
    <col min="13536" max="13536" width="14.28515625" customWidth="1"/>
    <col min="13537" max="13537" width="0.85546875" customWidth="1"/>
    <col min="13538" max="13538" width="16.5703125" bestFit="1" customWidth="1"/>
    <col min="13539" max="13539" width="13.42578125" bestFit="1" customWidth="1"/>
    <col min="13786" max="13786" width="4.85546875" bestFit="1" customWidth="1"/>
    <col min="13787" max="13787" width="5.85546875" bestFit="1" customWidth="1"/>
    <col min="13788" max="13788" width="7.42578125" bestFit="1" customWidth="1"/>
    <col min="13789" max="13789" width="8.140625" bestFit="1" customWidth="1"/>
    <col min="13790" max="13790" width="4.5703125" bestFit="1" customWidth="1"/>
    <col min="13791" max="13791" width="57.5703125" customWidth="1"/>
    <col min="13792" max="13792" width="14.28515625" customWidth="1"/>
    <col min="13793" max="13793" width="0.85546875" customWidth="1"/>
    <col min="13794" max="13794" width="16.5703125" bestFit="1" customWidth="1"/>
    <col min="13795" max="13795" width="13.42578125" bestFit="1" customWidth="1"/>
    <col min="14042" max="14042" width="4.85546875" bestFit="1" customWidth="1"/>
    <col min="14043" max="14043" width="5.85546875" bestFit="1" customWidth="1"/>
    <col min="14044" max="14044" width="7.42578125" bestFit="1" customWidth="1"/>
    <col min="14045" max="14045" width="8.140625" bestFit="1" customWidth="1"/>
    <col min="14046" max="14046" width="4.5703125" bestFit="1" customWidth="1"/>
    <col min="14047" max="14047" width="57.5703125" customWidth="1"/>
    <col min="14048" max="14048" width="14.28515625" customWidth="1"/>
    <col min="14049" max="14049" width="0.85546875" customWidth="1"/>
    <col min="14050" max="14050" width="16.5703125" bestFit="1" customWidth="1"/>
    <col min="14051" max="14051" width="13.42578125" bestFit="1" customWidth="1"/>
    <col min="14298" max="14298" width="4.85546875" bestFit="1" customWidth="1"/>
    <col min="14299" max="14299" width="5.85546875" bestFit="1" customWidth="1"/>
    <col min="14300" max="14300" width="7.42578125" bestFit="1" customWidth="1"/>
    <col min="14301" max="14301" width="8.140625" bestFit="1" customWidth="1"/>
    <col min="14302" max="14302" width="4.5703125" bestFit="1" customWidth="1"/>
    <col min="14303" max="14303" width="57.5703125" customWidth="1"/>
    <col min="14304" max="14304" width="14.28515625" customWidth="1"/>
    <col min="14305" max="14305" width="0.85546875" customWidth="1"/>
    <col min="14306" max="14306" width="16.5703125" bestFit="1" customWidth="1"/>
    <col min="14307" max="14307" width="13.42578125" bestFit="1" customWidth="1"/>
    <col min="14554" max="14554" width="4.85546875" bestFit="1" customWidth="1"/>
    <col min="14555" max="14555" width="5.85546875" bestFit="1" customWidth="1"/>
    <col min="14556" max="14556" width="7.42578125" bestFit="1" customWidth="1"/>
    <col min="14557" max="14557" width="8.140625" bestFit="1" customWidth="1"/>
    <col min="14558" max="14558" width="4.5703125" bestFit="1" customWidth="1"/>
    <col min="14559" max="14559" width="57.5703125" customWidth="1"/>
    <col min="14560" max="14560" width="14.28515625" customWidth="1"/>
    <col min="14561" max="14561" width="0.85546875" customWidth="1"/>
    <col min="14562" max="14562" width="16.5703125" bestFit="1" customWidth="1"/>
    <col min="14563" max="14563" width="13.42578125" bestFit="1" customWidth="1"/>
    <col min="14810" max="14810" width="4.85546875" bestFit="1" customWidth="1"/>
    <col min="14811" max="14811" width="5.85546875" bestFit="1" customWidth="1"/>
    <col min="14812" max="14812" width="7.42578125" bestFit="1" customWidth="1"/>
    <col min="14813" max="14813" width="8.140625" bestFit="1" customWidth="1"/>
    <col min="14814" max="14814" width="4.5703125" bestFit="1" customWidth="1"/>
    <col min="14815" max="14815" width="57.5703125" customWidth="1"/>
    <col min="14816" max="14816" width="14.28515625" customWidth="1"/>
    <col min="14817" max="14817" width="0.85546875" customWidth="1"/>
    <col min="14818" max="14818" width="16.5703125" bestFit="1" customWidth="1"/>
    <col min="14819" max="14819" width="13.42578125" bestFit="1" customWidth="1"/>
    <col min="15066" max="15066" width="4.85546875" bestFit="1" customWidth="1"/>
    <col min="15067" max="15067" width="5.85546875" bestFit="1" customWidth="1"/>
    <col min="15068" max="15068" width="7.42578125" bestFit="1" customWidth="1"/>
    <col min="15069" max="15069" width="8.140625" bestFit="1" customWidth="1"/>
    <col min="15070" max="15070" width="4.5703125" bestFit="1" customWidth="1"/>
    <col min="15071" max="15071" width="57.5703125" customWidth="1"/>
    <col min="15072" max="15072" width="14.28515625" customWidth="1"/>
    <col min="15073" max="15073" width="0.85546875" customWidth="1"/>
    <col min="15074" max="15074" width="16.5703125" bestFit="1" customWidth="1"/>
    <col min="15075" max="15075" width="13.42578125" bestFit="1" customWidth="1"/>
    <col min="15322" max="15322" width="4.85546875" bestFit="1" customWidth="1"/>
    <col min="15323" max="15323" width="5.85546875" bestFit="1" customWidth="1"/>
    <col min="15324" max="15324" width="7.42578125" bestFit="1" customWidth="1"/>
    <col min="15325" max="15325" width="8.140625" bestFit="1" customWidth="1"/>
    <col min="15326" max="15326" width="4.5703125" bestFit="1" customWidth="1"/>
    <col min="15327" max="15327" width="57.5703125" customWidth="1"/>
    <col min="15328" max="15328" width="14.28515625" customWidth="1"/>
    <col min="15329" max="15329" width="0.85546875" customWidth="1"/>
    <col min="15330" max="15330" width="16.5703125" bestFit="1" customWidth="1"/>
    <col min="15331" max="15331" width="13.42578125" bestFit="1" customWidth="1"/>
    <col min="15578" max="15578" width="4.85546875" bestFit="1" customWidth="1"/>
    <col min="15579" max="15579" width="5.85546875" bestFit="1" customWidth="1"/>
    <col min="15580" max="15580" width="7.42578125" bestFit="1" customWidth="1"/>
    <col min="15581" max="15581" width="8.140625" bestFit="1" customWidth="1"/>
    <col min="15582" max="15582" width="4.5703125" bestFit="1" customWidth="1"/>
    <col min="15583" max="15583" width="57.5703125" customWidth="1"/>
    <col min="15584" max="15584" width="14.28515625" customWidth="1"/>
    <col min="15585" max="15585" width="0.85546875" customWidth="1"/>
    <col min="15586" max="15586" width="16.5703125" bestFit="1" customWidth="1"/>
    <col min="15587" max="15587" width="13.42578125" bestFit="1" customWidth="1"/>
    <col min="15834" max="15834" width="4.85546875" bestFit="1" customWidth="1"/>
    <col min="15835" max="15835" width="5.85546875" bestFit="1" customWidth="1"/>
    <col min="15836" max="15836" width="7.42578125" bestFit="1" customWidth="1"/>
    <col min="15837" max="15837" width="8.140625" bestFit="1" customWidth="1"/>
    <col min="15838" max="15838" width="4.5703125" bestFit="1" customWidth="1"/>
    <col min="15839" max="15839" width="57.5703125" customWidth="1"/>
    <col min="15840" max="15840" width="14.28515625" customWidth="1"/>
    <col min="15841" max="15841" width="0.85546875" customWidth="1"/>
    <col min="15842" max="15842" width="16.5703125" bestFit="1" customWidth="1"/>
    <col min="15843" max="15843" width="13.42578125" bestFit="1" customWidth="1"/>
    <col min="16090" max="16090" width="4.85546875" bestFit="1" customWidth="1"/>
    <col min="16091" max="16091" width="5.85546875" bestFit="1" customWidth="1"/>
    <col min="16092" max="16092" width="7.42578125" bestFit="1" customWidth="1"/>
    <col min="16093" max="16093" width="8.140625" bestFit="1" customWidth="1"/>
    <col min="16094" max="16094" width="4.5703125" bestFit="1" customWidth="1"/>
    <col min="16095" max="16095" width="57.5703125" customWidth="1"/>
    <col min="16096" max="16096" width="14.28515625" customWidth="1"/>
    <col min="16097" max="16097" width="0.85546875" customWidth="1"/>
    <col min="16098" max="16098" width="16.5703125" bestFit="1" customWidth="1"/>
    <col min="16099" max="16099" width="13.42578125" bestFit="1" customWidth="1"/>
  </cols>
  <sheetData>
    <row r="1" spans="1:14">
      <c r="A1" s="26"/>
      <c r="B1" s="26"/>
      <c r="C1" s="26"/>
      <c r="D1" s="26"/>
      <c r="E1" s="26"/>
      <c r="F1" s="26"/>
      <c r="G1" s="26"/>
      <c r="H1" s="27"/>
      <c r="I1" s="27"/>
      <c r="J1" s="27"/>
      <c r="K1" s="27"/>
      <c r="L1" s="27"/>
      <c r="M1" s="1"/>
      <c r="N1" s="1"/>
    </row>
    <row r="2" spans="1:14">
      <c r="A2" s="26"/>
      <c r="B2" s="26"/>
      <c r="C2" s="26"/>
      <c r="D2" s="26"/>
      <c r="E2" s="26"/>
      <c r="F2" s="26"/>
      <c r="G2" s="26"/>
      <c r="H2" s="27"/>
      <c r="I2" s="27"/>
      <c r="J2" s="27"/>
      <c r="K2" s="27"/>
      <c r="L2" s="27"/>
      <c r="M2" s="1"/>
      <c r="N2" s="1"/>
    </row>
    <row r="3" spans="1:14">
      <c r="A3" s="26"/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1"/>
      <c r="N3" s="1"/>
    </row>
    <row r="4" spans="1:14">
      <c r="A4" s="26"/>
      <c r="B4" s="26"/>
      <c r="C4" s="26"/>
      <c r="D4" s="26"/>
      <c r="E4" s="26"/>
      <c r="F4" s="26"/>
      <c r="G4" s="26"/>
      <c r="H4" s="27"/>
      <c r="I4" s="27"/>
      <c r="J4" s="27"/>
      <c r="K4" s="27"/>
      <c r="L4" s="27"/>
      <c r="M4" s="1"/>
      <c r="N4" s="1"/>
    </row>
    <row r="5" spans="1:14" ht="20.25">
      <c r="A5" s="202" t="str">
        <f>'[1]Estado de flujo de Efectivo'!A1:B1</f>
        <v>Consejo Económico y Social -CES-</v>
      </c>
      <c r="B5" s="202"/>
      <c r="C5" s="202"/>
      <c r="D5" s="202"/>
      <c r="E5" s="202"/>
      <c r="F5" s="202"/>
      <c r="G5" s="202"/>
      <c r="H5" s="202"/>
      <c r="I5" s="153"/>
      <c r="J5" s="153"/>
      <c r="K5" s="153"/>
      <c r="L5" s="153"/>
      <c r="M5" s="1"/>
      <c r="N5" s="1"/>
    </row>
    <row r="6" spans="1:14" ht="20.25">
      <c r="A6" s="202" t="s">
        <v>196</v>
      </c>
      <c r="B6" s="202"/>
      <c r="C6" s="202"/>
      <c r="D6" s="202"/>
      <c r="E6" s="202"/>
      <c r="F6" s="202"/>
      <c r="G6" s="202"/>
      <c r="H6" s="202"/>
      <c r="I6" s="153"/>
      <c r="J6" s="153"/>
      <c r="K6" s="153"/>
      <c r="L6" s="153"/>
      <c r="M6" s="1"/>
      <c r="N6" s="1"/>
    </row>
    <row r="7" spans="1:14" ht="20.25">
      <c r="A7" s="202" t="s">
        <v>0</v>
      </c>
      <c r="B7" s="202"/>
      <c r="C7" s="202"/>
      <c r="D7" s="202"/>
      <c r="E7" s="202"/>
      <c r="F7" s="202"/>
      <c r="G7" s="202"/>
      <c r="H7" s="202"/>
      <c r="I7" s="153"/>
      <c r="J7" s="153"/>
      <c r="K7" s="153"/>
      <c r="L7" s="153"/>
      <c r="M7" s="1"/>
      <c r="N7" s="1"/>
    </row>
    <row r="8" spans="1:14" ht="16.5" thickBot="1">
      <c r="A8" s="28"/>
      <c r="B8" s="28"/>
      <c r="C8" s="28"/>
      <c r="D8" s="28"/>
      <c r="E8" s="29"/>
      <c r="F8" s="30"/>
      <c r="G8" s="31"/>
      <c r="H8" s="32"/>
      <c r="I8" s="32"/>
      <c r="J8" s="32"/>
      <c r="K8" s="32"/>
      <c r="L8" s="32"/>
      <c r="M8" s="1"/>
      <c r="N8" s="1"/>
    </row>
    <row r="9" spans="1:14" ht="16.5" thickBot="1">
      <c r="A9" s="203" t="s">
        <v>1</v>
      </c>
      <c r="B9" s="204"/>
      <c r="C9" s="204"/>
      <c r="D9" s="204"/>
      <c r="E9" s="205"/>
      <c r="F9" s="33"/>
      <c r="G9" s="34" t="s">
        <v>2</v>
      </c>
      <c r="H9" s="35" t="s">
        <v>2</v>
      </c>
      <c r="I9" s="169"/>
      <c r="J9" s="169"/>
      <c r="K9" s="169"/>
      <c r="L9" s="169"/>
      <c r="M9" s="1"/>
      <c r="N9" s="1"/>
    </row>
    <row r="10" spans="1:14" ht="54" customHeight="1" thickBot="1">
      <c r="A10" s="146"/>
      <c r="B10" s="146"/>
      <c r="C10" s="147"/>
      <c r="D10" s="147"/>
      <c r="E10" s="148"/>
      <c r="F10" s="36"/>
      <c r="G10" s="37" t="s">
        <v>143</v>
      </c>
      <c r="H10" s="38" t="s">
        <v>142</v>
      </c>
      <c r="I10" s="38" t="s">
        <v>155</v>
      </c>
      <c r="J10" s="38" t="s">
        <v>179</v>
      </c>
      <c r="K10" s="38" t="s">
        <v>190</v>
      </c>
      <c r="L10" s="175" t="s">
        <v>131</v>
      </c>
      <c r="M10" s="175" t="s">
        <v>3</v>
      </c>
      <c r="N10" s="158"/>
    </row>
    <row r="11" spans="1:14" ht="32.25" thickBot="1">
      <c r="A11" s="39" t="s">
        <v>4</v>
      </c>
      <c r="B11" s="37" t="s">
        <v>5</v>
      </c>
      <c r="C11" s="40" t="s">
        <v>6</v>
      </c>
      <c r="D11" s="37" t="s">
        <v>7</v>
      </c>
      <c r="E11" s="37" t="s">
        <v>8</v>
      </c>
      <c r="F11" s="146" t="s">
        <v>9</v>
      </c>
      <c r="G11" s="41" t="s">
        <v>10</v>
      </c>
      <c r="H11" s="42" t="s">
        <v>10</v>
      </c>
      <c r="I11" s="42" t="s">
        <v>10</v>
      </c>
      <c r="J11" s="42" t="s">
        <v>10</v>
      </c>
      <c r="K11" s="42" t="s">
        <v>10</v>
      </c>
      <c r="L11" s="42" t="s">
        <v>10</v>
      </c>
      <c r="M11" s="3" t="s">
        <v>10</v>
      </c>
      <c r="N11" s="159"/>
    </row>
    <row r="12" spans="1:14" ht="15.75">
      <c r="A12" s="43"/>
      <c r="B12" s="44"/>
      <c r="C12" s="45"/>
      <c r="D12" s="46"/>
      <c r="E12" s="47"/>
      <c r="F12" s="48"/>
      <c r="G12" s="49"/>
      <c r="H12" s="50"/>
      <c r="I12" s="170"/>
      <c r="J12" s="170"/>
      <c r="K12" s="170"/>
      <c r="L12" s="170"/>
      <c r="M12" s="4"/>
      <c r="N12" s="159"/>
    </row>
    <row r="13" spans="1:14" ht="16.5" thickBot="1">
      <c r="A13" s="44">
        <v>2</v>
      </c>
      <c r="B13" s="44">
        <v>1</v>
      </c>
      <c r="C13" s="51"/>
      <c r="D13" s="44"/>
      <c r="E13" s="52"/>
      <c r="F13" s="53" t="s">
        <v>11</v>
      </c>
      <c r="G13" s="54">
        <f t="shared" ref="G13:M13" si="0">G14+G32+G43+G48</f>
        <v>33477126</v>
      </c>
      <c r="H13" s="54">
        <f>H14+H32+H43+H48</f>
        <v>2407434.8200000003</v>
      </c>
      <c r="I13" s="54">
        <f t="shared" si="0"/>
        <v>2134547.5699999998</v>
      </c>
      <c r="J13" s="54">
        <f t="shared" si="0"/>
        <v>2221135.5699999998</v>
      </c>
      <c r="K13" s="54">
        <f>K14+K32+K43+K48</f>
        <v>2324653.71</v>
      </c>
      <c r="L13" s="54">
        <f>L14+L32+L43+L48</f>
        <v>9087771.6699999999</v>
      </c>
      <c r="M13" s="54">
        <f t="shared" si="0"/>
        <v>24389354.329999998</v>
      </c>
      <c r="N13" s="157"/>
    </row>
    <row r="14" spans="1:14" ht="16.5" thickBot="1">
      <c r="A14" s="44">
        <v>2</v>
      </c>
      <c r="B14" s="44">
        <v>1</v>
      </c>
      <c r="C14" s="51">
        <v>1</v>
      </c>
      <c r="D14" s="44"/>
      <c r="E14" s="52"/>
      <c r="F14" s="53" t="s">
        <v>12</v>
      </c>
      <c r="G14" s="55">
        <f t="shared" ref="G14:M14" si="1">G15+G18+G23+G26</f>
        <v>25377001</v>
      </c>
      <c r="H14" s="55">
        <f>H15+H18+H23+H26</f>
        <v>1947455.32</v>
      </c>
      <c r="I14" s="55">
        <f t="shared" si="1"/>
        <v>1867012</v>
      </c>
      <c r="J14" s="55">
        <f t="shared" si="1"/>
        <v>1887012</v>
      </c>
      <c r="K14" s="55">
        <f t="shared" si="1"/>
        <v>1920012</v>
      </c>
      <c r="L14" s="55">
        <f t="shared" si="1"/>
        <v>7621491.3200000003</v>
      </c>
      <c r="M14" s="55">
        <f t="shared" si="1"/>
        <v>17755509.68</v>
      </c>
      <c r="N14" s="160"/>
    </row>
    <row r="15" spans="1:14" ht="16.5" thickBot="1">
      <c r="A15" s="44">
        <v>2</v>
      </c>
      <c r="B15" s="44">
        <v>1</v>
      </c>
      <c r="C15" s="51">
        <v>1</v>
      </c>
      <c r="D15" s="44">
        <v>1</v>
      </c>
      <c r="E15" s="52"/>
      <c r="F15" s="53" t="s">
        <v>13</v>
      </c>
      <c r="G15" s="56">
        <f t="shared" ref="G15:M15" si="2">G16</f>
        <v>6300000</v>
      </c>
      <c r="H15" s="57">
        <f>H16</f>
        <v>525000</v>
      </c>
      <c r="I15" s="57">
        <f t="shared" si="2"/>
        <v>525000</v>
      </c>
      <c r="J15" s="57">
        <f t="shared" si="2"/>
        <v>525000</v>
      </c>
      <c r="K15" s="57">
        <f t="shared" si="2"/>
        <v>525000</v>
      </c>
      <c r="L15" s="57">
        <f>L16</f>
        <v>2100000</v>
      </c>
      <c r="M15" s="57">
        <f t="shared" si="2"/>
        <v>4200000</v>
      </c>
      <c r="N15" s="161"/>
    </row>
    <row r="16" spans="1:14" ht="15.75">
      <c r="A16" s="44">
        <v>2</v>
      </c>
      <c r="B16" s="44">
        <v>1</v>
      </c>
      <c r="C16" s="51">
        <v>1</v>
      </c>
      <c r="D16" s="44">
        <v>1</v>
      </c>
      <c r="E16" s="44">
        <v>1</v>
      </c>
      <c r="F16" s="58" t="s">
        <v>14</v>
      </c>
      <c r="G16" s="59">
        <v>6300000</v>
      </c>
      <c r="H16" s="60">
        <f>300000+225000</f>
        <v>525000</v>
      </c>
      <c r="I16" s="60">
        <f>225000+300000</f>
        <v>525000</v>
      </c>
      <c r="J16" s="60">
        <f>225000+300000</f>
        <v>525000</v>
      </c>
      <c r="K16" s="60">
        <f>225000+300000</f>
        <v>525000</v>
      </c>
      <c r="L16" s="179">
        <f>+H16+I16+J16+K16</f>
        <v>2100000</v>
      </c>
      <c r="M16" s="179">
        <f>+G16-L16</f>
        <v>4200000</v>
      </c>
      <c r="N16" s="162"/>
    </row>
    <row r="17" spans="1:15" ht="15.75">
      <c r="A17" s="44"/>
      <c r="B17" s="44"/>
      <c r="C17" s="51"/>
      <c r="D17" s="44"/>
      <c r="E17" s="43"/>
      <c r="F17" s="58"/>
      <c r="G17" s="61"/>
      <c r="H17" s="62"/>
      <c r="I17" s="171"/>
      <c r="J17" s="171"/>
      <c r="K17" s="171"/>
      <c r="L17" s="171"/>
      <c r="M17" s="171"/>
      <c r="N17" s="163"/>
    </row>
    <row r="18" spans="1:15" ht="32.25" thickBot="1">
      <c r="A18" s="44">
        <v>2</v>
      </c>
      <c r="B18" s="44">
        <v>1</v>
      </c>
      <c r="C18" s="51">
        <v>1</v>
      </c>
      <c r="D18" s="44">
        <v>2</v>
      </c>
      <c r="E18" s="52"/>
      <c r="F18" s="63" t="s">
        <v>15</v>
      </c>
      <c r="G18" s="54">
        <f>G19</f>
        <v>17124924</v>
      </c>
      <c r="H18" s="54">
        <f t="shared" ref="H18:M18" si="3">H19+H20+H21</f>
        <v>1340721.32</v>
      </c>
      <c r="I18" s="54">
        <f t="shared" si="3"/>
        <v>1342012</v>
      </c>
      <c r="J18" s="54">
        <f t="shared" si="3"/>
        <v>1362012</v>
      </c>
      <c r="K18" s="54">
        <f t="shared" si="3"/>
        <v>1395012</v>
      </c>
      <c r="L18" s="54">
        <f t="shared" si="3"/>
        <v>5439757.3200000003</v>
      </c>
      <c r="M18" s="54">
        <f t="shared" si="3"/>
        <v>11685166.68</v>
      </c>
      <c r="N18" s="157"/>
    </row>
    <row r="19" spans="1:15" ht="31.5">
      <c r="A19" s="44">
        <v>2</v>
      </c>
      <c r="B19" s="44">
        <v>1</v>
      </c>
      <c r="C19" s="51">
        <v>1</v>
      </c>
      <c r="D19" s="44">
        <v>2</v>
      </c>
      <c r="E19" s="44">
        <v>1</v>
      </c>
      <c r="F19" s="65" t="s">
        <v>16</v>
      </c>
      <c r="G19" s="66">
        <v>17124924</v>
      </c>
      <c r="H19" s="62">
        <f>73200+185000+185000+80000+120000+135000+53812+80000+66000+85000+60000+120000+29000+47419</f>
        <v>1319431</v>
      </c>
      <c r="I19" s="62">
        <f>73200+185000+185000+80000+120000+135000+53812+80000+66000+85000+60000+120000+29000+70000</f>
        <v>1342012</v>
      </c>
      <c r="J19" s="62">
        <f>73200+185000+185000+80000+120000+135000+53812+100000+66000+85000+60000+120000+29000+70000</f>
        <v>1362012</v>
      </c>
      <c r="K19" s="62">
        <f>73200+185000+185000+80000+120000+135000+53812+100000+66000+85000+60000+120000+29000+70000</f>
        <v>1362012</v>
      </c>
      <c r="L19" s="171">
        <f>+H19+I19+J19+K19</f>
        <v>5385467</v>
      </c>
      <c r="M19" s="171">
        <f>+G19-L19</f>
        <v>11739457</v>
      </c>
      <c r="N19" s="163"/>
      <c r="O19" s="183"/>
    </row>
    <row r="20" spans="1:15" ht="15.75">
      <c r="A20" s="44">
        <v>2</v>
      </c>
      <c r="B20" s="44">
        <v>1</v>
      </c>
      <c r="C20" s="51">
        <v>1</v>
      </c>
      <c r="D20" s="44">
        <v>2</v>
      </c>
      <c r="E20" s="44">
        <v>2</v>
      </c>
      <c r="F20" s="65" t="s">
        <v>17</v>
      </c>
      <c r="G20" s="61"/>
      <c r="H20" s="62"/>
      <c r="I20" s="171"/>
      <c r="J20" s="171"/>
      <c r="K20" s="171"/>
      <c r="L20" s="171">
        <f>+H20+I20</f>
        <v>0</v>
      </c>
      <c r="M20" s="171"/>
      <c r="N20" s="163"/>
    </row>
    <row r="21" spans="1:15" ht="31.5">
      <c r="A21" s="44">
        <v>2</v>
      </c>
      <c r="B21" s="44">
        <v>1</v>
      </c>
      <c r="C21" s="51">
        <v>1</v>
      </c>
      <c r="D21" s="44">
        <v>2</v>
      </c>
      <c r="E21" s="44">
        <v>5</v>
      </c>
      <c r="F21" s="65" t="s">
        <v>18</v>
      </c>
      <c r="G21" s="67"/>
      <c r="H21" s="69">
        <v>21290.32</v>
      </c>
      <c r="I21" s="172"/>
      <c r="J21" s="172"/>
      <c r="K21" s="172">
        <v>33000</v>
      </c>
      <c r="L21" s="171">
        <f>+H21+I21+J21+K21</f>
        <v>54290.32</v>
      </c>
      <c r="M21" s="172">
        <f>+G21-L21</f>
        <v>-54290.32</v>
      </c>
      <c r="N21" s="164"/>
    </row>
    <row r="22" spans="1:15" ht="15.75">
      <c r="A22" s="44"/>
      <c r="B22" s="44"/>
      <c r="C22" s="51"/>
      <c r="D22" s="44"/>
      <c r="E22" s="44"/>
      <c r="F22" s="65"/>
      <c r="G22" s="67"/>
      <c r="H22" s="69" t="s">
        <v>19</v>
      </c>
      <c r="I22" s="172"/>
      <c r="J22" s="172"/>
      <c r="K22" s="172"/>
      <c r="L22" s="172"/>
      <c r="M22" s="172"/>
      <c r="N22" s="164"/>
    </row>
    <row r="23" spans="1:15" ht="16.5" thickBot="1">
      <c r="A23" s="44">
        <v>2</v>
      </c>
      <c r="B23" s="44">
        <v>1</v>
      </c>
      <c r="C23" s="51">
        <v>1</v>
      </c>
      <c r="D23" s="44">
        <v>4</v>
      </c>
      <c r="E23" s="52"/>
      <c r="F23" s="63" t="s">
        <v>20</v>
      </c>
      <c r="G23" s="54">
        <f t="shared" ref="G23:L23" si="4">G24</f>
        <v>1952077</v>
      </c>
      <c r="H23" s="54">
        <f>H24</f>
        <v>0</v>
      </c>
      <c r="I23" s="54">
        <f t="shared" si="4"/>
        <v>0</v>
      </c>
      <c r="J23" s="54">
        <f t="shared" si="4"/>
        <v>0</v>
      </c>
      <c r="K23" s="54">
        <f t="shared" si="4"/>
        <v>0</v>
      </c>
      <c r="L23" s="54">
        <f t="shared" si="4"/>
        <v>0</v>
      </c>
      <c r="M23" s="54">
        <f>M24</f>
        <v>1952077</v>
      </c>
      <c r="N23" s="157"/>
    </row>
    <row r="24" spans="1:15" ht="15.75">
      <c r="A24" s="44">
        <v>2</v>
      </c>
      <c r="B24" s="44">
        <v>1</v>
      </c>
      <c r="C24" s="51">
        <v>1</v>
      </c>
      <c r="D24" s="44">
        <v>4</v>
      </c>
      <c r="E24" s="44">
        <v>1</v>
      </c>
      <c r="F24" s="65" t="s">
        <v>21</v>
      </c>
      <c r="G24" s="66">
        <v>1952077</v>
      </c>
      <c r="H24" s="68">
        <v>0</v>
      </c>
      <c r="I24" s="173"/>
      <c r="J24" s="173"/>
      <c r="K24" s="173"/>
      <c r="L24" s="173"/>
      <c r="M24" s="173">
        <f>+G24-L27</f>
        <v>1952077</v>
      </c>
      <c r="N24" s="164"/>
    </row>
    <row r="25" spans="1:15" ht="15.75">
      <c r="A25" s="44"/>
      <c r="B25" s="44"/>
      <c r="C25" s="51"/>
      <c r="D25" s="44"/>
      <c r="E25" s="44"/>
      <c r="F25" s="65"/>
      <c r="G25" s="67"/>
      <c r="H25" s="69"/>
      <c r="I25" s="172"/>
      <c r="J25" s="172"/>
      <c r="K25" s="172"/>
      <c r="L25" s="172"/>
      <c r="M25" s="172"/>
      <c r="N25" s="164"/>
    </row>
    <row r="26" spans="1:15" ht="16.5" thickBot="1">
      <c r="A26" s="44">
        <v>2</v>
      </c>
      <c r="B26" s="44">
        <v>1</v>
      </c>
      <c r="C26" s="51">
        <v>1</v>
      </c>
      <c r="D26" s="44">
        <v>5</v>
      </c>
      <c r="E26" s="52"/>
      <c r="F26" s="63" t="s">
        <v>22</v>
      </c>
      <c r="G26" s="70">
        <f>G27+G30</f>
        <v>0</v>
      </c>
      <c r="H26" s="70">
        <f>H27+H30+H28+H29</f>
        <v>81734</v>
      </c>
      <c r="I26" s="70">
        <f t="shared" ref="I26:K26" si="5">I27+I30+I28+I29</f>
        <v>0</v>
      </c>
      <c r="J26" s="70">
        <f t="shared" si="5"/>
        <v>0</v>
      </c>
      <c r="K26" s="70">
        <f t="shared" si="5"/>
        <v>0</v>
      </c>
      <c r="L26" s="70">
        <f>L27+L30+L28+L29</f>
        <v>81734</v>
      </c>
      <c r="M26" s="70">
        <f>M27+M30+M28+M29</f>
        <v>-81734</v>
      </c>
      <c r="N26" s="165"/>
    </row>
    <row r="27" spans="1:15" ht="15.75">
      <c r="A27" s="44">
        <v>2</v>
      </c>
      <c r="B27" s="44">
        <v>1</v>
      </c>
      <c r="C27" s="51">
        <v>1</v>
      </c>
      <c r="D27" s="44">
        <v>5</v>
      </c>
      <c r="E27" s="44">
        <v>1</v>
      </c>
      <c r="F27" s="65" t="s">
        <v>22</v>
      </c>
      <c r="G27" s="67"/>
      <c r="H27" s="68">
        <v>0</v>
      </c>
      <c r="I27" s="172"/>
      <c r="J27" s="172"/>
      <c r="K27" s="172"/>
      <c r="L27" s="172">
        <f>+H27+I27+J27+K27</f>
        <v>0</v>
      </c>
      <c r="M27" s="172">
        <f>+G27-L27</f>
        <v>0</v>
      </c>
      <c r="N27" s="164"/>
    </row>
    <row r="28" spans="1:15" ht="31.5">
      <c r="A28" s="44">
        <v>2</v>
      </c>
      <c r="B28" s="44">
        <v>1</v>
      </c>
      <c r="C28" s="51">
        <v>1</v>
      </c>
      <c r="D28" s="44">
        <v>5</v>
      </c>
      <c r="E28" s="44">
        <v>2</v>
      </c>
      <c r="F28" s="65" t="s">
        <v>23</v>
      </c>
      <c r="G28" s="67"/>
      <c r="H28" s="69">
        <v>0</v>
      </c>
      <c r="I28" s="172"/>
      <c r="J28" s="172"/>
      <c r="K28" s="172"/>
      <c r="L28" s="172">
        <f>+H28+I28+J28+K28</f>
        <v>0</v>
      </c>
      <c r="M28" s="172">
        <f>+G28-L28</f>
        <v>0</v>
      </c>
      <c r="N28" s="164"/>
    </row>
    <row r="29" spans="1:15" ht="31.5">
      <c r="A29" s="44">
        <v>2</v>
      </c>
      <c r="B29" s="44">
        <v>1</v>
      </c>
      <c r="C29" s="51">
        <v>1</v>
      </c>
      <c r="D29" s="44">
        <v>5</v>
      </c>
      <c r="E29" s="44">
        <v>3</v>
      </c>
      <c r="F29" s="65" t="s">
        <v>24</v>
      </c>
      <c r="G29" s="67"/>
      <c r="H29" s="69">
        <v>81734</v>
      </c>
      <c r="I29" s="172"/>
      <c r="J29" s="172"/>
      <c r="K29" s="172"/>
      <c r="L29" s="172">
        <f>+H29+I29+J29+K29</f>
        <v>81734</v>
      </c>
      <c r="M29" s="172">
        <f>+G29-L29</f>
        <v>-81734</v>
      </c>
      <c r="N29" s="164"/>
    </row>
    <row r="30" spans="1:15" ht="31.5">
      <c r="A30" s="44">
        <v>2</v>
      </c>
      <c r="B30" s="44">
        <v>1</v>
      </c>
      <c r="C30" s="51">
        <v>1</v>
      </c>
      <c r="D30" s="44">
        <v>5</v>
      </c>
      <c r="E30" s="44">
        <v>4</v>
      </c>
      <c r="F30" s="65" t="s">
        <v>25</v>
      </c>
      <c r="G30" s="67"/>
      <c r="H30" s="69"/>
      <c r="I30" s="172"/>
      <c r="J30" s="172"/>
      <c r="K30" s="172"/>
      <c r="L30" s="172"/>
      <c r="M30" s="172"/>
      <c r="N30" s="164"/>
    </row>
    <row r="31" spans="1:15" ht="15.75">
      <c r="A31" s="44"/>
      <c r="B31" s="44"/>
      <c r="C31" s="51"/>
      <c r="D31" s="44"/>
      <c r="E31" s="44"/>
      <c r="F31" s="65"/>
      <c r="G31" s="67"/>
      <c r="H31" s="69"/>
      <c r="I31" s="172"/>
      <c r="J31" s="172"/>
      <c r="K31" s="172"/>
      <c r="L31" s="172"/>
      <c r="M31" s="172"/>
      <c r="N31" s="164"/>
    </row>
    <row r="32" spans="1:15" ht="15.75">
      <c r="A32" s="44">
        <v>2</v>
      </c>
      <c r="B32" s="44">
        <v>1</v>
      </c>
      <c r="C32" s="51">
        <v>2</v>
      </c>
      <c r="D32" s="44"/>
      <c r="E32" s="44"/>
      <c r="F32" s="86" t="s">
        <v>26</v>
      </c>
      <c r="G32" s="150">
        <f t="shared" ref="G32:M32" si="6">G33</f>
        <v>4734631</v>
      </c>
      <c r="H32" s="151">
        <f>H33</f>
        <v>185000</v>
      </c>
      <c r="I32" s="151">
        <f t="shared" si="6"/>
        <v>0</v>
      </c>
      <c r="J32" s="151">
        <f t="shared" si="6"/>
        <v>63750</v>
      </c>
      <c r="K32" s="151">
        <f t="shared" si="6"/>
        <v>125000</v>
      </c>
      <c r="L32" s="151">
        <f t="shared" si="6"/>
        <v>373750</v>
      </c>
      <c r="M32" s="151">
        <f t="shared" si="6"/>
        <v>4360881</v>
      </c>
      <c r="N32" s="160"/>
    </row>
    <row r="33" spans="1:14" ht="16.5" thickBot="1">
      <c r="A33" s="44">
        <v>2</v>
      </c>
      <c r="B33" s="44">
        <v>1</v>
      </c>
      <c r="C33" s="44">
        <v>2</v>
      </c>
      <c r="D33" s="44">
        <v>2</v>
      </c>
      <c r="E33" s="44"/>
      <c r="F33" s="63" t="s">
        <v>27</v>
      </c>
      <c r="G33" s="54">
        <f t="shared" ref="G33:L33" si="7">+G35+G36+G37+G39</f>
        <v>4734631</v>
      </c>
      <c r="H33" s="54">
        <f>+H35+H36+H37+H39</f>
        <v>185000</v>
      </c>
      <c r="I33" s="54">
        <f t="shared" si="7"/>
        <v>0</v>
      </c>
      <c r="J33" s="54">
        <f t="shared" si="7"/>
        <v>63750</v>
      </c>
      <c r="K33" s="54">
        <f t="shared" si="7"/>
        <v>125000</v>
      </c>
      <c r="L33" s="54">
        <f t="shared" si="7"/>
        <v>373750</v>
      </c>
      <c r="M33" s="54">
        <f>+M35+M36+M37+M39</f>
        <v>4360881</v>
      </c>
      <c r="N33" s="157"/>
    </row>
    <row r="34" spans="1:14" ht="31.5">
      <c r="A34" s="44">
        <v>2</v>
      </c>
      <c r="B34" s="44">
        <v>1</v>
      </c>
      <c r="C34" s="44">
        <v>2</v>
      </c>
      <c r="D34" s="44">
        <v>2</v>
      </c>
      <c r="E34" s="44">
        <v>2</v>
      </c>
      <c r="F34" s="63" t="s">
        <v>28</v>
      </c>
      <c r="G34" s="83"/>
      <c r="H34" s="55">
        <v>0</v>
      </c>
      <c r="I34" s="174"/>
      <c r="J34" s="174"/>
      <c r="K34" s="174"/>
      <c r="L34" s="174">
        <f>+H34+I34+J34</f>
        <v>0</v>
      </c>
      <c r="M34" s="174">
        <f>+G34-L34</f>
        <v>0</v>
      </c>
      <c r="N34" s="162"/>
    </row>
    <row r="35" spans="1:14" ht="15.75">
      <c r="A35" s="44">
        <v>2</v>
      </c>
      <c r="B35" s="44">
        <v>1</v>
      </c>
      <c r="C35" s="44">
        <v>2</v>
      </c>
      <c r="D35" s="44">
        <v>2</v>
      </c>
      <c r="E35" s="44">
        <v>4</v>
      </c>
      <c r="F35" s="65" t="s">
        <v>29</v>
      </c>
      <c r="G35" s="67">
        <v>0</v>
      </c>
      <c r="H35" s="69">
        <v>0</v>
      </c>
      <c r="I35" s="172"/>
      <c r="J35" s="172"/>
      <c r="K35" s="172"/>
      <c r="L35" s="174">
        <f>+H35+I35+J35</f>
        <v>0</v>
      </c>
      <c r="M35" s="172">
        <f>+-G35-L35</f>
        <v>0</v>
      </c>
      <c r="N35" s="164"/>
    </row>
    <row r="36" spans="1:14" ht="15.75">
      <c r="A36" s="44">
        <v>2</v>
      </c>
      <c r="B36" s="44">
        <v>1</v>
      </c>
      <c r="C36" s="44">
        <v>2</v>
      </c>
      <c r="D36" s="44">
        <v>2</v>
      </c>
      <c r="E36" s="44">
        <v>10</v>
      </c>
      <c r="F36" s="65" t="s">
        <v>149</v>
      </c>
      <c r="G36" s="67">
        <v>1208077</v>
      </c>
      <c r="H36" s="69"/>
      <c r="I36" s="172"/>
      <c r="J36" s="172"/>
      <c r="K36" s="172"/>
      <c r="L36" s="174">
        <f>+H36+I36+J36</f>
        <v>0</v>
      </c>
      <c r="M36" s="172">
        <f>+G36-L36</f>
        <v>1208077</v>
      </c>
      <c r="N36" s="164"/>
    </row>
    <row r="37" spans="1:14" ht="15.75">
      <c r="A37" s="44">
        <v>2</v>
      </c>
      <c r="B37" s="44">
        <v>1</v>
      </c>
      <c r="C37" s="44">
        <v>2</v>
      </c>
      <c r="D37" s="44">
        <v>2</v>
      </c>
      <c r="E37" s="44">
        <v>15</v>
      </c>
      <c r="F37" s="65" t="s">
        <v>30</v>
      </c>
      <c r="G37" s="67">
        <v>1842577</v>
      </c>
      <c r="H37" s="69"/>
      <c r="I37" s="172"/>
      <c r="J37" s="172"/>
      <c r="K37" s="172"/>
      <c r="L37" s="174">
        <f>+H37+I37+J37</f>
        <v>0</v>
      </c>
      <c r="M37" s="172">
        <f>+G37-L37</f>
        <v>1842577</v>
      </c>
      <c r="N37" s="164"/>
    </row>
    <row r="38" spans="1:14" ht="16.5" thickBot="1">
      <c r="A38" s="44"/>
      <c r="B38" s="44"/>
      <c r="C38" s="51"/>
      <c r="D38" s="44"/>
      <c r="E38" s="44"/>
      <c r="F38" s="65"/>
      <c r="G38" s="67"/>
      <c r="H38" s="69"/>
      <c r="I38" s="172"/>
      <c r="J38" s="172"/>
      <c r="K38" s="172"/>
      <c r="L38" s="172"/>
      <c r="M38" s="172"/>
      <c r="N38" s="164"/>
    </row>
    <row r="39" spans="1:14" ht="16.5" thickBot="1">
      <c r="A39" s="44">
        <v>2</v>
      </c>
      <c r="B39" s="44">
        <v>1</v>
      </c>
      <c r="C39" s="51">
        <v>3</v>
      </c>
      <c r="D39" s="44">
        <v>7</v>
      </c>
      <c r="E39" s="44"/>
      <c r="F39" s="86" t="s">
        <v>150</v>
      </c>
      <c r="G39" s="71">
        <f t="shared" ref="G39:L39" si="8">+G40+G41</f>
        <v>1683977</v>
      </c>
      <c r="H39" s="71">
        <f>+H40+H41</f>
        <v>185000</v>
      </c>
      <c r="I39" s="71">
        <f t="shared" si="8"/>
        <v>0</v>
      </c>
      <c r="J39" s="71">
        <f t="shared" si="8"/>
        <v>63750</v>
      </c>
      <c r="K39" s="71">
        <f t="shared" si="8"/>
        <v>125000</v>
      </c>
      <c r="L39" s="71">
        <f t="shared" si="8"/>
        <v>373750</v>
      </c>
      <c r="M39" s="71">
        <f>+M40+M41</f>
        <v>1310227</v>
      </c>
      <c r="N39" s="157"/>
    </row>
    <row r="40" spans="1:14" ht="15.75">
      <c r="A40" s="44">
        <v>2</v>
      </c>
      <c r="B40" s="44">
        <v>1</v>
      </c>
      <c r="C40" s="51">
        <v>3</v>
      </c>
      <c r="D40" s="44">
        <v>7</v>
      </c>
      <c r="E40" s="44">
        <v>2</v>
      </c>
      <c r="F40" s="65" t="s">
        <v>151</v>
      </c>
      <c r="G40" s="67">
        <v>130000</v>
      </c>
      <c r="H40" s="69"/>
      <c r="I40" s="172"/>
      <c r="J40" s="172"/>
      <c r="K40" s="172"/>
      <c r="L40" s="172">
        <f>+H40+I40+J40</f>
        <v>0</v>
      </c>
      <c r="M40" s="172">
        <f>+G40-L40</f>
        <v>130000</v>
      </c>
      <c r="N40" s="164"/>
    </row>
    <row r="41" spans="1:14" ht="15.75">
      <c r="A41" s="44">
        <v>2</v>
      </c>
      <c r="B41" s="44">
        <v>1</v>
      </c>
      <c r="C41" s="51">
        <v>3</v>
      </c>
      <c r="D41" s="44">
        <v>7</v>
      </c>
      <c r="E41" s="44">
        <v>4</v>
      </c>
      <c r="F41" s="65" t="s">
        <v>152</v>
      </c>
      <c r="G41" s="67">
        <v>1553977</v>
      </c>
      <c r="H41" s="69">
        <v>185000</v>
      </c>
      <c r="I41" s="172"/>
      <c r="J41" s="172">
        <v>63750</v>
      </c>
      <c r="K41" s="172">
        <f>30000+15000+80000</f>
        <v>125000</v>
      </c>
      <c r="L41" s="172">
        <f>+H41+I41+J41+K41</f>
        <v>373750</v>
      </c>
      <c r="M41" s="172">
        <f>+G41-L41</f>
        <v>1180227</v>
      </c>
      <c r="N41" s="164"/>
    </row>
    <row r="42" spans="1:14" ht="15.75">
      <c r="A42" s="44"/>
      <c r="B42" s="44"/>
      <c r="C42" s="51"/>
      <c r="D42" s="44"/>
      <c r="E42" s="44"/>
      <c r="F42" s="65"/>
      <c r="G42" s="67"/>
      <c r="H42" s="69"/>
      <c r="I42" s="172"/>
      <c r="J42" s="172"/>
      <c r="K42" s="172"/>
      <c r="L42" s="172"/>
      <c r="M42" s="172"/>
      <c r="N42" s="164"/>
    </row>
    <row r="43" spans="1:14" s="11" customFormat="1" ht="32.25" thickBot="1">
      <c r="A43" s="44">
        <v>2</v>
      </c>
      <c r="B43" s="44">
        <v>1</v>
      </c>
      <c r="C43" s="51">
        <v>3</v>
      </c>
      <c r="D43" s="44"/>
      <c r="E43" s="44"/>
      <c r="F43" s="63" t="s">
        <v>31</v>
      </c>
      <c r="G43" s="67"/>
      <c r="H43" s="69"/>
      <c r="I43" s="172"/>
      <c r="J43" s="172"/>
      <c r="K43" s="172"/>
      <c r="L43" s="172"/>
      <c r="M43" s="174">
        <f>SUM(M44:M46)</f>
        <v>0</v>
      </c>
      <c r="N43" s="162"/>
    </row>
    <row r="44" spans="1:14" ht="16.5" thickBot="1">
      <c r="A44" s="44">
        <v>2</v>
      </c>
      <c r="B44" s="44">
        <v>1</v>
      </c>
      <c r="C44" s="51">
        <v>3</v>
      </c>
      <c r="D44" s="44">
        <v>1</v>
      </c>
      <c r="E44" s="52"/>
      <c r="F44" s="63" t="s">
        <v>32</v>
      </c>
      <c r="G44" s="56">
        <f t="shared" ref="G44:M44" si="9">G45+G46</f>
        <v>0</v>
      </c>
      <c r="H44" s="57">
        <f>H45+H46</f>
        <v>0</v>
      </c>
      <c r="I44" s="57">
        <f t="shared" si="9"/>
        <v>0</v>
      </c>
      <c r="J44" s="57">
        <f t="shared" si="9"/>
        <v>0</v>
      </c>
      <c r="K44" s="57">
        <f t="shared" si="9"/>
        <v>0</v>
      </c>
      <c r="L44" s="57">
        <f t="shared" si="9"/>
        <v>0</v>
      </c>
      <c r="M44" s="57">
        <f t="shared" si="9"/>
        <v>0</v>
      </c>
      <c r="N44" s="161"/>
    </row>
    <row r="45" spans="1:14" ht="15.75">
      <c r="A45" s="44">
        <v>2</v>
      </c>
      <c r="B45" s="44">
        <v>1</v>
      </c>
      <c r="C45" s="51">
        <v>3</v>
      </c>
      <c r="D45" s="44">
        <v>1</v>
      </c>
      <c r="E45" s="44">
        <v>1</v>
      </c>
      <c r="F45" s="65" t="s">
        <v>33</v>
      </c>
      <c r="G45" s="66"/>
      <c r="H45" s="69">
        <f>G45*12</f>
        <v>0</v>
      </c>
      <c r="I45" s="172"/>
      <c r="J45" s="172"/>
      <c r="K45" s="172"/>
      <c r="L45" s="172">
        <f>+H45+I45+J45</f>
        <v>0</v>
      </c>
      <c r="M45" s="172">
        <f>+G45-L45</f>
        <v>0</v>
      </c>
      <c r="N45" s="164"/>
    </row>
    <row r="46" spans="1:14" ht="15.75">
      <c r="A46" s="44">
        <v>2</v>
      </c>
      <c r="B46" s="44">
        <v>1</v>
      </c>
      <c r="C46" s="51">
        <v>3</v>
      </c>
      <c r="D46" s="44">
        <v>1</v>
      </c>
      <c r="E46" s="44">
        <v>2</v>
      </c>
      <c r="F46" s="65" t="s">
        <v>34</v>
      </c>
      <c r="G46" s="67"/>
      <c r="H46" s="69">
        <f>G46*12</f>
        <v>0</v>
      </c>
      <c r="I46" s="172"/>
      <c r="J46" s="172"/>
      <c r="K46" s="172"/>
      <c r="L46" s="172">
        <f>+H46+I46+J46</f>
        <v>0</v>
      </c>
      <c r="M46" s="172">
        <f>+G46-L46</f>
        <v>0</v>
      </c>
      <c r="N46" s="164"/>
    </row>
    <row r="47" spans="1:14" ht="15.75">
      <c r="A47" s="44"/>
      <c r="B47" s="44"/>
      <c r="C47" s="51"/>
      <c r="D47" s="44"/>
      <c r="E47" s="44"/>
      <c r="F47" s="65"/>
      <c r="G47" s="67"/>
      <c r="H47" s="69"/>
      <c r="I47" s="172"/>
      <c r="J47" s="172"/>
      <c r="K47" s="172"/>
      <c r="L47" s="172"/>
      <c r="M47" s="172"/>
      <c r="N47" s="164"/>
    </row>
    <row r="48" spans="1:14" ht="32.25" thickBot="1">
      <c r="A48" s="44">
        <v>2</v>
      </c>
      <c r="B48" s="73">
        <v>1</v>
      </c>
      <c r="C48" s="74">
        <v>5</v>
      </c>
      <c r="D48" s="52"/>
      <c r="E48" s="52"/>
      <c r="F48" s="63" t="s">
        <v>35</v>
      </c>
      <c r="G48" s="54">
        <f t="shared" ref="G48:L48" si="10">SUM(G49:G51)</f>
        <v>3365494</v>
      </c>
      <c r="H48" s="55">
        <f>SUM(H49:H51)</f>
        <v>274979.5</v>
      </c>
      <c r="I48" s="55">
        <f t="shared" si="10"/>
        <v>267535.57</v>
      </c>
      <c r="J48" s="55">
        <f>SUM(J49:J51)</f>
        <v>270373.57</v>
      </c>
      <c r="K48" s="55">
        <f>SUM(K49:K51)</f>
        <v>279641.71000000002</v>
      </c>
      <c r="L48" s="55">
        <f t="shared" si="10"/>
        <v>1092530.3499999999</v>
      </c>
      <c r="M48" s="55">
        <f>SUM(M49:M51)</f>
        <v>2272963.6500000004</v>
      </c>
      <c r="N48" s="160"/>
    </row>
    <row r="49" spans="1:14" ht="15.75">
      <c r="A49" s="44">
        <v>2</v>
      </c>
      <c r="B49" s="44">
        <v>1</v>
      </c>
      <c r="C49" s="51">
        <v>5</v>
      </c>
      <c r="D49" s="44">
        <v>1</v>
      </c>
      <c r="E49" s="44"/>
      <c r="F49" s="58" t="s">
        <v>36</v>
      </c>
      <c r="G49" s="66">
        <v>1543459</v>
      </c>
      <c r="H49" s="68">
        <v>126042.25</v>
      </c>
      <c r="I49" s="68">
        <v>122590.49</v>
      </c>
      <c r="J49" s="68">
        <v>124008.49</v>
      </c>
      <c r="K49" s="68">
        <v>129641.21</v>
      </c>
      <c r="L49" s="68">
        <f>+H49+I49+J49+K49</f>
        <v>502282.44</v>
      </c>
      <c r="M49" s="68">
        <f>+G49-L49</f>
        <v>1041176.56</v>
      </c>
      <c r="N49" s="161"/>
    </row>
    <row r="50" spans="1:14" ht="31.5">
      <c r="A50" s="44">
        <v>2</v>
      </c>
      <c r="B50" s="44">
        <v>1</v>
      </c>
      <c r="C50" s="51">
        <v>5</v>
      </c>
      <c r="D50" s="44">
        <v>2</v>
      </c>
      <c r="E50" s="44"/>
      <c r="F50" s="58" t="s">
        <v>37</v>
      </c>
      <c r="G50" s="67">
        <v>1663170</v>
      </c>
      <c r="H50" s="69">
        <v>136014.48000000001</v>
      </c>
      <c r="I50" s="69">
        <v>132557.85</v>
      </c>
      <c r="J50" s="69">
        <v>133977.85</v>
      </c>
      <c r="K50" s="69">
        <v>136320.85</v>
      </c>
      <c r="L50" s="69">
        <f>+H50+I50+J50+K50</f>
        <v>538871.03</v>
      </c>
      <c r="M50" s="69">
        <f>+G50-L50</f>
        <v>1124298.97</v>
      </c>
      <c r="N50" s="161"/>
    </row>
    <row r="51" spans="1:14" ht="15.75">
      <c r="A51" s="44">
        <v>2</v>
      </c>
      <c r="B51" s="44">
        <v>1</v>
      </c>
      <c r="C51" s="51">
        <v>5</v>
      </c>
      <c r="D51" s="44">
        <v>3</v>
      </c>
      <c r="E51" s="44"/>
      <c r="F51" s="65" t="s">
        <v>38</v>
      </c>
      <c r="G51" s="67">
        <v>158865</v>
      </c>
      <c r="H51" s="69">
        <v>12922.77</v>
      </c>
      <c r="I51" s="69">
        <v>12387.23</v>
      </c>
      <c r="J51" s="69">
        <v>12387.23</v>
      </c>
      <c r="K51" s="69">
        <v>13679.65</v>
      </c>
      <c r="L51" s="69">
        <f>+H51+I51+J51+K51</f>
        <v>51376.88</v>
      </c>
      <c r="M51" s="69">
        <f>+G51-L51</f>
        <v>107488.12</v>
      </c>
      <c r="N51" s="161"/>
    </row>
    <row r="52" spans="1:14" ht="15.75">
      <c r="A52" s="44"/>
      <c r="B52" s="44"/>
      <c r="C52" s="51"/>
      <c r="D52" s="44"/>
      <c r="E52" s="44"/>
      <c r="F52" s="65"/>
      <c r="G52" s="67"/>
      <c r="H52" s="69"/>
      <c r="I52" s="69"/>
      <c r="J52" s="69"/>
      <c r="K52" s="69"/>
      <c r="L52" s="69"/>
      <c r="M52" s="69"/>
      <c r="N52" s="161"/>
    </row>
    <row r="53" spans="1:14" ht="16.5" thickBot="1">
      <c r="A53" s="44">
        <v>2</v>
      </c>
      <c r="B53" s="44">
        <v>2</v>
      </c>
      <c r="C53" s="51"/>
      <c r="D53" s="44"/>
      <c r="E53" s="52"/>
      <c r="F53" s="53" t="s">
        <v>39</v>
      </c>
      <c r="G53" s="54">
        <f t="shared" ref="G53:L53" si="11">G54+G62+G66+G70+G74+G86+G94+G82+G110</f>
        <v>19955541</v>
      </c>
      <c r="H53" s="64">
        <f>H54+H62+H66+H70+H74+H86+H94+H82+H110</f>
        <v>2925896.66</v>
      </c>
      <c r="I53" s="64">
        <f t="shared" si="11"/>
        <v>2324676.38</v>
      </c>
      <c r="J53" s="64">
        <f>J54+J62+J66+J70+J74+J86+J94+J82+J110</f>
        <v>3105397.47</v>
      </c>
      <c r="K53" s="64">
        <f>K54+K62+K66+K70+K74+K86+K94+K82+K110</f>
        <v>2437807.2300000004</v>
      </c>
      <c r="L53" s="64">
        <f t="shared" si="11"/>
        <v>10793777.74</v>
      </c>
      <c r="M53" s="64">
        <f>M54+M62+M66+M70+M74+M86+M94+M82+M110</f>
        <v>9161763.2599999998</v>
      </c>
      <c r="N53" s="160"/>
    </row>
    <row r="54" spans="1:14" ht="16.5" thickBot="1">
      <c r="A54" s="44">
        <v>2</v>
      </c>
      <c r="B54" s="44">
        <v>2</v>
      </c>
      <c r="C54" s="51">
        <v>1</v>
      </c>
      <c r="D54" s="44"/>
      <c r="E54" s="52"/>
      <c r="F54" s="53" t="s">
        <v>40</v>
      </c>
      <c r="G54" s="71">
        <f t="shared" ref="G54:I54" si="12">G55+G56+G57+G59</f>
        <v>2534355</v>
      </c>
      <c r="H54" s="55">
        <f>H55+H56+H57+H59</f>
        <v>138110.23000000001</v>
      </c>
      <c r="I54" s="55">
        <f t="shared" si="12"/>
        <v>151924.69</v>
      </c>
      <c r="J54" s="55">
        <f>J55+J56+J57+J59</f>
        <v>147809.08000000002</v>
      </c>
      <c r="K54" s="55">
        <f>K55+K56+K57+K59</f>
        <v>157153.09</v>
      </c>
      <c r="L54" s="55">
        <f>L55+L56+L57+L59</f>
        <v>594997.09</v>
      </c>
      <c r="M54" s="55">
        <f>M55+M56+M57+M59</f>
        <v>1939357.91</v>
      </c>
      <c r="N54" s="160"/>
    </row>
    <row r="55" spans="1:14" ht="15.75">
      <c r="A55" s="44">
        <v>2</v>
      </c>
      <c r="B55" s="44">
        <v>2</v>
      </c>
      <c r="C55" s="51">
        <v>1</v>
      </c>
      <c r="D55" s="44">
        <v>3</v>
      </c>
      <c r="E55" s="44"/>
      <c r="F55" s="58" t="s">
        <v>41</v>
      </c>
      <c r="G55" s="66">
        <v>306000</v>
      </c>
      <c r="H55" s="68">
        <f>22419.33+22224.9+2041+31889</f>
        <v>78574.23000000001</v>
      </c>
      <c r="I55" s="68">
        <f>31889+22647.36+22224.9+2041+10171.6</f>
        <v>88973.860000000015</v>
      </c>
      <c r="J55" s="68">
        <f>22566.23+31889+22224.9+2041</f>
        <v>78721.13</v>
      </c>
      <c r="K55" s="68">
        <f>22919.54+31889+10176.4+22746.46</f>
        <v>87731.4</v>
      </c>
      <c r="L55" s="68">
        <f>+H55+I55+J55+K55</f>
        <v>334000.62</v>
      </c>
      <c r="M55" s="68">
        <f>+G55-L55</f>
        <v>-28000.619999999995</v>
      </c>
      <c r="N55" s="161"/>
    </row>
    <row r="56" spans="1:14" ht="15.75">
      <c r="A56" s="44">
        <v>2</v>
      </c>
      <c r="B56" s="44">
        <v>2</v>
      </c>
      <c r="C56" s="51">
        <v>1</v>
      </c>
      <c r="D56" s="44">
        <v>4</v>
      </c>
      <c r="E56" s="44"/>
      <c r="F56" s="58" t="s">
        <v>42</v>
      </c>
      <c r="G56" s="67">
        <v>276000</v>
      </c>
      <c r="H56" s="69"/>
      <c r="I56" s="69"/>
      <c r="J56" s="69"/>
      <c r="K56" s="69"/>
      <c r="L56" s="69">
        <f>+H56+I56+J56+K56</f>
        <v>0</v>
      </c>
      <c r="M56" s="69">
        <f>+G56-L56</f>
        <v>276000</v>
      </c>
      <c r="N56" s="161"/>
    </row>
    <row r="57" spans="1:14" ht="31.5">
      <c r="A57" s="44">
        <v>2</v>
      </c>
      <c r="B57" s="44">
        <v>2</v>
      </c>
      <c r="C57" s="51">
        <v>1</v>
      </c>
      <c r="D57" s="44">
        <v>5</v>
      </c>
      <c r="E57" s="44"/>
      <c r="F57" s="58" t="s">
        <v>43</v>
      </c>
      <c r="G57" s="67">
        <v>992355</v>
      </c>
      <c r="H57" s="69"/>
      <c r="I57" s="69"/>
      <c r="J57" s="69"/>
      <c r="K57" s="69"/>
      <c r="L57" s="69">
        <f>+H57+I57+J57+K57</f>
        <v>0</v>
      </c>
      <c r="M57" s="69">
        <f>+G57-L57</f>
        <v>992355</v>
      </c>
      <c r="N57" s="161"/>
    </row>
    <row r="58" spans="1:14" ht="15.75">
      <c r="A58" s="44"/>
      <c r="B58" s="44"/>
      <c r="C58" s="51"/>
      <c r="D58" s="44"/>
      <c r="E58" s="44"/>
      <c r="F58" s="58"/>
      <c r="G58" s="67"/>
      <c r="H58" s="69"/>
      <c r="I58" s="69"/>
      <c r="J58" s="69"/>
      <c r="K58" s="69"/>
      <c r="L58" s="69"/>
      <c r="M58" s="69"/>
      <c r="N58" s="161"/>
    </row>
    <row r="59" spans="1:14" ht="16.5" thickBot="1">
      <c r="A59" s="44">
        <v>2</v>
      </c>
      <c r="B59" s="44">
        <v>2</v>
      </c>
      <c r="C59" s="51">
        <v>1</v>
      </c>
      <c r="D59" s="44">
        <v>6</v>
      </c>
      <c r="E59" s="44"/>
      <c r="F59" s="63" t="s">
        <v>44</v>
      </c>
      <c r="G59" s="54">
        <f t="shared" ref="G59:L59" si="13">G60</f>
        <v>960000</v>
      </c>
      <c r="H59" s="75">
        <f>H60</f>
        <v>59536</v>
      </c>
      <c r="I59" s="75">
        <f t="shared" si="13"/>
        <v>62950.83</v>
      </c>
      <c r="J59" s="75">
        <f>J60</f>
        <v>69087.95</v>
      </c>
      <c r="K59" s="75">
        <f>K60</f>
        <v>69421.69</v>
      </c>
      <c r="L59" s="75">
        <f t="shared" si="13"/>
        <v>260996.47</v>
      </c>
      <c r="M59" s="75">
        <f>M60</f>
        <v>699003.53</v>
      </c>
      <c r="N59" s="161"/>
    </row>
    <row r="60" spans="1:14" ht="15.75">
      <c r="A60" s="44">
        <v>2</v>
      </c>
      <c r="B60" s="44">
        <v>2</v>
      </c>
      <c r="C60" s="51">
        <v>1</v>
      </c>
      <c r="D60" s="44">
        <v>6</v>
      </c>
      <c r="E60" s="44">
        <v>1</v>
      </c>
      <c r="F60" s="58" t="s">
        <v>45</v>
      </c>
      <c r="G60" s="66">
        <v>960000</v>
      </c>
      <c r="H60" s="69">
        <v>59536</v>
      </c>
      <c r="I60" s="69">
        <v>62950.83</v>
      </c>
      <c r="J60" s="69">
        <v>69087.95</v>
      </c>
      <c r="K60" s="69">
        <v>69421.69</v>
      </c>
      <c r="L60" s="69">
        <f>+H60+I60+J60+K60</f>
        <v>260996.47</v>
      </c>
      <c r="M60" s="69">
        <f>+G60-L60</f>
        <v>699003.53</v>
      </c>
      <c r="N60" s="161"/>
    </row>
    <row r="61" spans="1:14" ht="15.75">
      <c r="A61" s="44"/>
      <c r="B61" s="44"/>
      <c r="C61" s="51"/>
      <c r="D61" s="44"/>
      <c r="E61" s="44"/>
      <c r="F61" s="58"/>
      <c r="G61" s="67"/>
      <c r="H61" s="69"/>
      <c r="I61" s="69"/>
      <c r="J61" s="69"/>
      <c r="K61" s="69"/>
      <c r="L61" s="69"/>
      <c r="M61" s="69"/>
      <c r="N61" s="161"/>
    </row>
    <row r="62" spans="1:14" ht="32.25" thickBot="1">
      <c r="A62" s="44">
        <v>2</v>
      </c>
      <c r="B62" s="44">
        <v>2</v>
      </c>
      <c r="C62" s="51">
        <v>2</v>
      </c>
      <c r="D62" s="44"/>
      <c r="E62" s="44"/>
      <c r="F62" s="63" t="s">
        <v>46</v>
      </c>
      <c r="G62" s="54">
        <f>SUM(G63:G64)</f>
        <v>468493</v>
      </c>
      <c r="H62" s="55">
        <f t="shared" ref="H62:M62" si="14">H63+H64</f>
        <v>3100</v>
      </c>
      <c r="I62" s="55">
        <f t="shared" si="14"/>
        <v>575226.86</v>
      </c>
      <c r="J62" s="55">
        <f t="shared" si="14"/>
        <v>3450</v>
      </c>
      <c r="K62" s="55">
        <f t="shared" si="14"/>
        <v>64622.5</v>
      </c>
      <c r="L62" s="55">
        <f t="shared" si="14"/>
        <v>646399.36</v>
      </c>
      <c r="M62" s="55">
        <f t="shared" si="14"/>
        <v>-177906.36</v>
      </c>
      <c r="N62" s="160"/>
    </row>
    <row r="63" spans="1:14" ht="16.5" thickBot="1">
      <c r="A63" s="44">
        <v>2</v>
      </c>
      <c r="B63" s="44">
        <v>2</v>
      </c>
      <c r="C63" s="51">
        <v>2</v>
      </c>
      <c r="D63" s="44">
        <v>1</v>
      </c>
      <c r="E63" s="44"/>
      <c r="F63" s="65" t="s">
        <v>47</v>
      </c>
      <c r="G63" s="66">
        <v>436493</v>
      </c>
      <c r="H63" s="68">
        <v>3100</v>
      </c>
      <c r="I63" s="68">
        <f>167500+347694.36+60032.5</f>
        <v>575226.86</v>
      </c>
      <c r="J63" s="68">
        <f>3450</f>
        <v>3450</v>
      </c>
      <c r="K63" s="68">
        <v>60032.5</v>
      </c>
      <c r="L63" s="68">
        <f>+H63+I63+J63+K63</f>
        <v>641809.36</v>
      </c>
      <c r="M63" s="68">
        <f>+G63-L63</f>
        <v>-205316.36</v>
      </c>
      <c r="N63" s="161"/>
    </row>
    <row r="64" spans="1:14" ht="15.75">
      <c r="A64" s="44">
        <v>2</v>
      </c>
      <c r="B64" s="44">
        <v>2</v>
      </c>
      <c r="C64" s="51">
        <v>2</v>
      </c>
      <c r="D64" s="44">
        <v>2</v>
      </c>
      <c r="E64" s="44"/>
      <c r="F64" s="65" t="s">
        <v>48</v>
      </c>
      <c r="G64" s="67">
        <v>32000</v>
      </c>
      <c r="H64" s="69"/>
      <c r="I64" s="69"/>
      <c r="J64" s="69"/>
      <c r="K64" s="69">
        <v>4590</v>
      </c>
      <c r="L64" s="68">
        <f>+H64+I64+J64+K64</f>
        <v>4590</v>
      </c>
      <c r="M64" s="69">
        <f>+G64-L64</f>
        <v>27410</v>
      </c>
      <c r="N64" s="161"/>
    </row>
    <row r="65" spans="1:15" ht="15.75">
      <c r="A65" s="44"/>
      <c r="B65" s="44"/>
      <c r="C65" s="51"/>
      <c r="D65" s="44"/>
      <c r="E65" s="44"/>
      <c r="F65" s="58"/>
      <c r="G65" s="67"/>
      <c r="H65" s="69"/>
      <c r="I65" s="69"/>
      <c r="J65" s="69"/>
      <c r="K65" s="69"/>
      <c r="L65" s="69"/>
      <c r="M65" s="69"/>
      <c r="N65" s="161"/>
    </row>
    <row r="66" spans="1:15" ht="16.5" thickBot="1">
      <c r="A66" s="44">
        <v>2</v>
      </c>
      <c r="B66" s="44">
        <v>2</v>
      </c>
      <c r="C66" s="51">
        <v>3</v>
      </c>
      <c r="D66" s="44"/>
      <c r="E66" s="44"/>
      <c r="F66" s="63" t="s">
        <v>49</v>
      </c>
      <c r="G66" s="54">
        <f t="shared" ref="G66:L66" si="15">G67+G68</f>
        <v>189190</v>
      </c>
      <c r="H66" s="64">
        <f>H67+H68</f>
        <v>1600</v>
      </c>
      <c r="I66" s="64">
        <f t="shared" si="15"/>
        <v>1800</v>
      </c>
      <c r="J66" s="64">
        <f>J67+J68</f>
        <v>145917.6</v>
      </c>
      <c r="K66" s="64">
        <f>K67+K68</f>
        <v>116934.48</v>
      </c>
      <c r="L66" s="64">
        <f t="shared" si="15"/>
        <v>266252.08</v>
      </c>
      <c r="M66" s="64">
        <f>M67+M68</f>
        <v>-77062.080000000016</v>
      </c>
      <c r="N66" s="160"/>
    </row>
    <row r="67" spans="1:15" ht="15.75">
      <c r="A67" s="44">
        <v>2</v>
      </c>
      <c r="B67" s="44">
        <v>2</v>
      </c>
      <c r="C67" s="51">
        <v>3</v>
      </c>
      <c r="D67" s="44">
        <v>1</v>
      </c>
      <c r="E67" s="77"/>
      <c r="F67" s="65" t="s">
        <v>50</v>
      </c>
      <c r="G67" s="66">
        <v>150000</v>
      </c>
      <c r="H67" s="60">
        <f>800+800</f>
        <v>1600</v>
      </c>
      <c r="I67" s="60">
        <v>1800</v>
      </c>
      <c r="J67" s="60">
        <v>3000</v>
      </c>
      <c r="K67" s="60">
        <v>3000</v>
      </c>
      <c r="L67" s="60">
        <f>+H67+I67+J67+K67</f>
        <v>9400</v>
      </c>
      <c r="M67" s="60">
        <f>+G67-L67</f>
        <v>140600</v>
      </c>
      <c r="N67" s="160"/>
    </row>
    <row r="68" spans="1:15" ht="15.75">
      <c r="A68" s="44">
        <v>2</v>
      </c>
      <c r="B68" s="44">
        <v>2</v>
      </c>
      <c r="C68" s="51">
        <v>3</v>
      </c>
      <c r="D68" s="44">
        <v>2</v>
      </c>
      <c r="E68" s="77"/>
      <c r="F68" s="65" t="s">
        <v>51</v>
      </c>
      <c r="G68" s="67">
        <v>39190</v>
      </c>
      <c r="H68" s="69"/>
      <c r="I68" s="69"/>
      <c r="J68" s="69">
        <v>142917.6</v>
      </c>
      <c r="K68" s="69">
        <v>113934.48</v>
      </c>
      <c r="L68" s="69">
        <f>+H68+I68+J68+K68</f>
        <v>256852.08000000002</v>
      </c>
      <c r="M68" s="69">
        <f>+G68-L68</f>
        <v>-217662.08000000002</v>
      </c>
      <c r="N68" s="161"/>
    </row>
    <row r="69" spans="1:15" ht="15.75">
      <c r="A69" s="44"/>
      <c r="B69" s="44"/>
      <c r="C69" s="51"/>
      <c r="D69" s="44"/>
      <c r="E69" s="44"/>
      <c r="F69" s="65"/>
      <c r="G69" s="67"/>
      <c r="H69" s="69"/>
      <c r="I69" s="69"/>
      <c r="J69" s="69"/>
      <c r="K69" s="69"/>
      <c r="L69" s="69"/>
      <c r="M69" s="69"/>
      <c r="N69" s="161"/>
    </row>
    <row r="70" spans="1:15" ht="16.5" thickBot="1">
      <c r="A70" s="44">
        <v>2</v>
      </c>
      <c r="B70" s="44">
        <v>2</v>
      </c>
      <c r="C70" s="51">
        <v>4</v>
      </c>
      <c r="D70" s="44"/>
      <c r="E70" s="44"/>
      <c r="F70" s="63" t="s">
        <v>52</v>
      </c>
      <c r="G70" s="54">
        <f t="shared" ref="G70:L70" si="16">G71+G72</f>
        <v>309000</v>
      </c>
      <c r="H70" s="64">
        <f>H71+H72</f>
        <v>3350</v>
      </c>
      <c r="I70" s="64">
        <f t="shared" si="16"/>
        <v>11881.9</v>
      </c>
      <c r="J70" s="64">
        <f>J71+J72</f>
        <v>14303.01</v>
      </c>
      <c r="K70" s="64">
        <f>K71+K72</f>
        <v>14587.24</v>
      </c>
      <c r="L70" s="64">
        <f t="shared" si="16"/>
        <v>44122.15</v>
      </c>
      <c r="M70" s="64">
        <f>M71+M72</f>
        <v>264877.84999999998</v>
      </c>
      <c r="N70" s="160"/>
    </row>
    <row r="71" spans="1:15" ht="15.75">
      <c r="A71" s="44">
        <v>2</v>
      </c>
      <c r="B71" s="44">
        <v>2</v>
      </c>
      <c r="C71" s="51">
        <v>4</v>
      </c>
      <c r="D71" s="44">
        <v>1</v>
      </c>
      <c r="E71" s="44"/>
      <c r="F71" s="65" t="s">
        <v>53</v>
      </c>
      <c r="G71" s="66">
        <v>309000</v>
      </c>
      <c r="H71" s="69">
        <f>50+100+100+100+3000</f>
        <v>3350</v>
      </c>
      <c r="I71" s="69">
        <f>300+10431.9+300+150+100+100+300+100+100</f>
        <v>11881.9</v>
      </c>
      <c r="J71" s="69">
        <f>100+100+100+100+100+100+100+100+500+450+12553.01</f>
        <v>14303.01</v>
      </c>
      <c r="K71" s="69">
        <f>100+100+100+100+14187.24</f>
        <v>14587.24</v>
      </c>
      <c r="L71" s="69">
        <f>+H71+I71+J71+K71</f>
        <v>44122.15</v>
      </c>
      <c r="M71" s="69">
        <f>+G71-L71</f>
        <v>264877.84999999998</v>
      </c>
      <c r="N71" s="161"/>
    </row>
    <row r="72" spans="1:15" ht="15.75">
      <c r="A72" s="44">
        <v>2</v>
      </c>
      <c r="B72" s="44">
        <v>2</v>
      </c>
      <c r="C72" s="51">
        <v>4</v>
      </c>
      <c r="D72" s="44">
        <v>3</v>
      </c>
      <c r="E72" s="44"/>
      <c r="F72" s="65" t="s">
        <v>54</v>
      </c>
      <c r="G72" s="67"/>
      <c r="H72" s="69"/>
      <c r="I72" s="69"/>
      <c r="J72" s="69"/>
      <c r="K72" s="69"/>
      <c r="L72" s="69">
        <f>+H72+I72+J72</f>
        <v>0</v>
      </c>
      <c r="M72" s="69">
        <f>+G72-L72</f>
        <v>0</v>
      </c>
      <c r="N72" s="161"/>
    </row>
    <row r="73" spans="1:15" ht="15.75">
      <c r="A73" s="44"/>
      <c r="B73" s="44"/>
      <c r="C73" s="51"/>
      <c r="D73" s="44"/>
      <c r="E73" s="44"/>
      <c r="F73" s="65"/>
      <c r="G73" s="67"/>
      <c r="H73" s="69"/>
      <c r="I73" s="69"/>
      <c r="J73" s="69"/>
      <c r="K73" s="69"/>
      <c r="L73" s="69"/>
      <c r="M73" s="69"/>
      <c r="N73" s="161"/>
    </row>
    <row r="74" spans="1:15" ht="16.5" thickBot="1">
      <c r="A74" s="44">
        <v>2</v>
      </c>
      <c r="B74" s="44">
        <v>2</v>
      </c>
      <c r="C74" s="51">
        <v>5</v>
      </c>
      <c r="D74" s="44"/>
      <c r="E74" s="44"/>
      <c r="F74" s="63" t="s">
        <v>55</v>
      </c>
      <c r="G74" s="54">
        <f>G75+G80</f>
        <v>10769766</v>
      </c>
      <c r="H74" s="55">
        <f t="shared" ref="H74:M74" si="17">H77+H75</f>
        <v>852057</v>
      </c>
      <c r="I74" s="55">
        <f t="shared" si="17"/>
        <v>862026.98</v>
      </c>
      <c r="J74" s="55">
        <f t="shared" si="17"/>
        <v>868871.03999999992</v>
      </c>
      <c r="K74" s="55">
        <f t="shared" si="17"/>
        <v>880764.65</v>
      </c>
      <c r="L74" s="55">
        <f t="shared" si="17"/>
        <v>3463719.67</v>
      </c>
      <c r="M74" s="55">
        <f t="shared" si="17"/>
        <v>7306046.3300000001</v>
      </c>
      <c r="N74" s="160"/>
    </row>
    <row r="75" spans="1:15" ht="31.5">
      <c r="A75" s="44">
        <v>2</v>
      </c>
      <c r="B75" s="44">
        <v>2</v>
      </c>
      <c r="C75" s="51">
        <v>5</v>
      </c>
      <c r="D75" s="44">
        <v>1</v>
      </c>
      <c r="E75" s="44"/>
      <c r="F75" s="58" t="s">
        <v>56</v>
      </c>
      <c r="G75" s="66">
        <v>10423558</v>
      </c>
      <c r="H75" s="68">
        <v>843797</v>
      </c>
      <c r="I75" s="68">
        <f>835591.47+18175.51</f>
        <v>853766.98</v>
      </c>
      <c r="J75" s="68">
        <f>18321.21+842289.83</f>
        <v>860611.03999999992</v>
      </c>
      <c r="K75" s="68">
        <f>18574.41+853930.24</f>
        <v>872504.65</v>
      </c>
      <c r="L75" s="68">
        <f>+H75+I75+J75+K75</f>
        <v>3430679.67</v>
      </c>
      <c r="M75" s="68">
        <f>+G75-L75</f>
        <v>6992878.3300000001</v>
      </c>
      <c r="N75" s="161"/>
    </row>
    <row r="76" spans="1:15" ht="15.75">
      <c r="A76" s="44"/>
      <c r="B76" s="44"/>
      <c r="C76" s="51"/>
      <c r="D76" s="44"/>
      <c r="E76" s="77"/>
      <c r="F76" s="65"/>
      <c r="G76" s="67"/>
      <c r="H76" s="69"/>
      <c r="I76" s="69"/>
      <c r="J76" s="69"/>
      <c r="K76" s="69"/>
      <c r="L76" s="69"/>
      <c r="M76" s="69"/>
      <c r="N76" s="161"/>
    </row>
    <row r="77" spans="1:15" ht="32.25" thickBot="1">
      <c r="A77" s="44">
        <v>2</v>
      </c>
      <c r="B77" s="44">
        <v>2</v>
      </c>
      <c r="C77" s="51">
        <v>5</v>
      </c>
      <c r="D77" s="44">
        <v>3</v>
      </c>
      <c r="E77" s="52"/>
      <c r="F77" s="63" t="s">
        <v>57</v>
      </c>
      <c r="G77" s="54">
        <f t="shared" ref="G77:L77" si="18">G78+G79+G80</f>
        <v>346208</v>
      </c>
      <c r="H77" s="64">
        <f>H78+H79+H80</f>
        <v>8260</v>
      </c>
      <c r="I77" s="64">
        <f t="shared" si="18"/>
        <v>8260</v>
      </c>
      <c r="J77" s="64">
        <f>J78+J79+J80</f>
        <v>8260</v>
      </c>
      <c r="K77" s="64">
        <f>K78+K79+K80</f>
        <v>8260</v>
      </c>
      <c r="L77" s="64">
        <f t="shared" si="18"/>
        <v>33040</v>
      </c>
      <c r="M77" s="64">
        <f>M78+M79+M80</f>
        <v>313168</v>
      </c>
      <c r="N77" s="160"/>
    </row>
    <row r="78" spans="1:15" ht="15.75">
      <c r="A78" s="44">
        <v>2</v>
      </c>
      <c r="B78" s="44">
        <v>2</v>
      </c>
      <c r="C78" s="51">
        <v>5</v>
      </c>
      <c r="D78" s="44">
        <v>3</v>
      </c>
      <c r="E78" s="44">
        <v>2</v>
      </c>
      <c r="F78" s="58" t="s">
        <v>58</v>
      </c>
      <c r="G78" s="66"/>
      <c r="H78" s="69">
        <v>0</v>
      </c>
      <c r="I78" s="69"/>
      <c r="J78" s="69"/>
      <c r="K78" s="69"/>
      <c r="L78" s="69">
        <f>+H78+I78+J78+K78</f>
        <v>0</v>
      </c>
      <c r="M78" s="69">
        <f>+G78-L78</f>
        <v>0</v>
      </c>
      <c r="N78" s="161"/>
    </row>
    <row r="79" spans="1:15" s="12" customFormat="1" ht="31.5">
      <c r="A79" s="44">
        <v>2</v>
      </c>
      <c r="B79" s="44">
        <v>2</v>
      </c>
      <c r="C79" s="51">
        <v>5</v>
      </c>
      <c r="D79" s="44">
        <v>3</v>
      </c>
      <c r="E79" s="44">
        <v>3</v>
      </c>
      <c r="F79" s="58" t="s">
        <v>59</v>
      </c>
      <c r="G79" s="67"/>
      <c r="H79" s="69"/>
      <c r="I79" s="69"/>
      <c r="J79" s="69"/>
      <c r="K79" s="69"/>
      <c r="L79" s="69">
        <f>+H79+I79+J79+K79</f>
        <v>0</v>
      </c>
      <c r="M79" s="69">
        <f>+G79-L79</f>
        <v>0</v>
      </c>
      <c r="N79" s="161"/>
      <c r="O79" s="196"/>
    </row>
    <row r="80" spans="1:15" ht="31.5">
      <c r="A80" s="44">
        <v>2</v>
      </c>
      <c r="B80" s="44">
        <v>2</v>
      </c>
      <c r="C80" s="51">
        <v>5</v>
      </c>
      <c r="D80" s="44">
        <v>3</v>
      </c>
      <c r="E80" s="44">
        <v>4</v>
      </c>
      <c r="F80" s="58" t="s">
        <v>60</v>
      </c>
      <c r="G80" s="67">
        <v>346208</v>
      </c>
      <c r="H80" s="69">
        <v>8260</v>
      </c>
      <c r="I80" s="69">
        <v>8260</v>
      </c>
      <c r="J80" s="69">
        <v>8260</v>
      </c>
      <c r="K80" s="69">
        <v>8260</v>
      </c>
      <c r="L80" s="69">
        <f>+H80+I80+J80+K80</f>
        <v>33040</v>
      </c>
      <c r="M80" s="69">
        <f>+G80-L80</f>
        <v>313168</v>
      </c>
      <c r="N80" s="161"/>
      <c r="O80" s="197"/>
    </row>
    <row r="81" spans="1:14" ht="16.5" thickBot="1">
      <c r="A81" s="44"/>
      <c r="B81" s="44"/>
      <c r="C81" s="51"/>
      <c r="D81" s="44"/>
      <c r="E81" s="44"/>
      <c r="F81" s="58"/>
      <c r="G81" s="67"/>
      <c r="H81" s="69"/>
      <c r="I81" s="69"/>
      <c r="J81" s="69"/>
      <c r="K81" s="69"/>
      <c r="L81" s="69"/>
      <c r="M81" s="69"/>
      <c r="N81" s="161"/>
    </row>
    <row r="82" spans="1:14" ht="16.5" thickBot="1">
      <c r="A82" s="44">
        <v>2</v>
      </c>
      <c r="B82" s="44">
        <v>2</v>
      </c>
      <c r="C82" s="51">
        <v>6</v>
      </c>
      <c r="D82" s="44"/>
      <c r="E82" s="44"/>
      <c r="F82" s="58" t="s">
        <v>61</v>
      </c>
      <c r="G82" s="71">
        <f t="shared" ref="G82:M82" si="19">G84+G83</f>
        <v>1955017</v>
      </c>
      <c r="H82" s="72">
        <f>H84+H83</f>
        <v>125469</v>
      </c>
      <c r="I82" s="72">
        <f>I84+I83</f>
        <v>225520.55</v>
      </c>
      <c r="J82" s="72">
        <f>J84+J83</f>
        <v>157247.95000000001</v>
      </c>
      <c r="K82" s="72">
        <f>K84+K83</f>
        <v>241546.15999999997</v>
      </c>
      <c r="L82" s="72">
        <f t="shared" si="19"/>
        <v>749783.66</v>
      </c>
      <c r="M82" s="72">
        <f t="shared" si="19"/>
        <v>1205233.3399999999</v>
      </c>
      <c r="N82" s="160"/>
    </row>
    <row r="83" spans="1:14" ht="16.5" thickBot="1">
      <c r="A83" s="78">
        <v>2</v>
      </c>
      <c r="B83" s="78">
        <v>2</v>
      </c>
      <c r="C83" s="79">
        <v>6</v>
      </c>
      <c r="D83" s="78">
        <v>2</v>
      </c>
      <c r="E83" s="78">
        <v>1</v>
      </c>
      <c r="F83" s="80" t="s">
        <v>62</v>
      </c>
      <c r="G83" s="81">
        <v>203017</v>
      </c>
      <c r="H83" s="81"/>
      <c r="I83" s="81">
        <v>18085.88</v>
      </c>
      <c r="J83" s="81"/>
      <c r="K83" s="81">
        <f>113934.48+1225.76</f>
        <v>115160.23999999999</v>
      </c>
      <c r="L83" s="81">
        <f>+H83+I83+J83+K83</f>
        <v>133246.12</v>
      </c>
      <c r="M83" s="81">
        <f>+G83-L83</f>
        <v>69770.880000000005</v>
      </c>
      <c r="N83" s="166"/>
    </row>
    <row r="84" spans="1:14" ht="15.75">
      <c r="A84" s="44">
        <v>2</v>
      </c>
      <c r="B84" s="44">
        <v>2</v>
      </c>
      <c r="C84" s="51">
        <v>6</v>
      </c>
      <c r="D84" s="44">
        <v>3</v>
      </c>
      <c r="E84" s="44">
        <v>1</v>
      </c>
      <c r="F84" s="58" t="s">
        <v>63</v>
      </c>
      <c r="G84" s="67">
        <v>1752000</v>
      </c>
      <c r="H84" s="69">
        <v>125469</v>
      </c>
      <c r="I84" s="69">
        <f>40924.8+23071.95+17052+126385.92</f>
        <v>207434.66999999998</v>
      </c>
      <c r="J84" s="69">
        <v>157247.95000000001</v>
      </c>
      <c r="K84" s="69">
        <v>126385.92</v>
      </c>
      <c r="L84" s="69">
        <f>+H84+I84+J84+K84</f>
        <v>616537.54</v>
      </c>
      <c r="M84" s="69">
        <f>+G84-L84</f>
        <v>1135462.46</v>
      </c>
      <c r="N84" s="161"/>
    </row>
    <row r="85" spans="1:14" ht="15.75">
      <c r="A85" s="44"/>
      <c r="B85" s="44"/>
      <c r="C85" s="51"/>
      <c r="D85" s="44"/>
      <c r="E85" s="44"/>
      <c r="F85" s="58"/>
      <c r="G85" s="67"/>
      <c r="H85" s="69">
        <v>0</v>
      </c>
      <c r="I85" s="69"/>
      <c r="J85" s="69"/>
      <c r="K85" s="69"/>
      <c r="L85" s="69"/>
      <c r="M85" s="69">
        <v>0</v>
      </c>
      <c r="N85" s="161"/>
    </row>
    <row r="86" spans="1:14" ht="32.25" thickBot="1">
      <c r="A86" s="44">
        <v>2</v>
      </c>
      <c r="B86" s="44">
        <v>2</v>
      </c>
      <c r="C86" s="51">
        <v>7</v>
      </c>
      <c r="D86" s="44"/>
      <c r="E86" s="52"/>
      <c r="F86" s="63" t="s">
        <v>64</v>
      </c>
      <c r="G86" s="83">
        <f>G87</f>
        <v>370000</v>
      </c>
      <c r="H86" s="55">
        <f t="shared" ref="H86:M86" si="20">SUM(H88:H92)</f>
        <v>2600</v>
      </c>
      <c r="I86" s="55">
        <f t="shared" si="20"/>
        <v>37264.089999999997</v>
      </c>
      <c r="J86" s="55">
        <f t="shared" si="20"/>
        <v>18555.580000000002</v>
      </c>
      <c r="K86" s="55">
        <f t="shared" si="20"/>
        <v>4100</v>
      </c>
      <c r="L86" s="55">
        <f t="shared" si="20"/>
        <v>62519.67</v>
      </c>
      <c r="M86" s="55">
        <f t="shared" si="20"/>
        <v>307480.33</v>
      </c>
      <c r="N86" s="160"/>
    </row>
    <row r="87" spans="1:14" ht="32.25" thickBot="1">
      <c r="A87" s="44">
        <v>2</v>
      </c>
      <c r="B87" s="44">
        <v>2</v>
      </c>
      <c r="C87" s="51">
        <v>7</v>
      </c>
      <c r="D87" s="44">
        <v>2</v>
      </c>
      <c r="E87" s="52"/>
      <c r="F87" s="63" t="s">
        <v>65</v>
      </c>
      <c r="G87" s="71">
        <f>SUM(G89:G92)</f>
        <v>370000</v>
      </c>
      <c r="H87" s="120">
        <f t="shared" ref="H87:M87" si="21">SUM(H88:H92)</f>
        <v>2600</v>
      </c>
      <c r="I87" s="120">
        <f t="shared" si="21"/>
        <v>37264.089999999997</v>
      </c>
      <c r="J87" s="120">
        <f t="shared" si="21"/>
        <v>18555.580000000002</v>
      </c>
      <c r="K87" s="120">
        <f t="shared" si="21"/>
        <v>4100</v>
      </c>
      <c r="L87" s="120">
        <f t="shared" si="21"/>
        <v>62519.67</v>
      </c>
      <c r="M87" s="120">
        <f t="shared" si="21"/>
        <v>307480.33</v>
      </c>
      <c r="N87" s="167"/>
    </row>
    <row r="88" spans="1:14" ht="31.5">
      <c r="A88" s="44">
        <v>2</v>
      </c>
      <c r="B88" s="44">
        <v>2</v>
      </c>
      <c r="C88" s="51">
        <v>7</v>
      </c>
      <c r="D88" s="44">
        <v>1</v>
      </c>
      <c r="E88" s="77">
        <v>2</v>
      </c>
      <c r="F88" s="84" t="s">
        <v>66</v>
      </c>
      <c r="G88" s="83"/>
      <c r="H88" s="121"/>
      <c r="I88" s="121"/>
      <c r="J88" s="121">
        <v>12390</v>
      </c>
      <c r="K88" s="121"/>
      <c r="L88" s="121">
        <f>+H88+I88+J88+K88</f>
        <v>12390</v>
      </c>
      <c r="M88" s="82">
        <f>-G88-L88</f>
        <v>-12390</v>
      </c>
      <c r="N88" s="167"/>
    </row>
    <row r="89" spans="1:14" ht="31.5">
      <c r="A89" s="44">
        <v>2</v>
      </c>
      <c r="B89" s="44">
        <v>2</v>
      </c>
      <c r="C89" s="51">
        <v>7</v>
      </c>
      <c r="D89" s="44">
        <v>2</v>
      </c>
      <c r="E89" s="77">
        <v>2</v>
      </c>
      <c r="F89" s="84" t="s">
        <v>67</v>
      </c>
      <c r="G89" s="67">
        <v>70000</v>
      </c>
      <c r="H89" s="69">
        <v>0</v>
      </c>
      <c r="I89" s="69"/>
      <c r="J89" s="69"/>
      <c r="K89" s="69"/>
      <c r="L89" s="69">
        <f>+H89+I89+J89+K89</f>
        <v>0</v>
      </c>
      <c r="M89" s="82">
        <f>+G89-L89</f>
        <v>70000</v>
      </c>
      <c r="N89" s="161"/>
    </row>
    <row r="90" spans="1:14" ht="31.5">
      <c r="A90" s="44">
        <v>2</v>
      </c>
      <c r="B90" s="44">
        <v>2</v>
      </c>
      <c r="C90" s="51">
        <v>7</v>
      </c>
      <c r="D90" s="44">
        <v>2</v>
      </c>
      <c r="E90" s="77">
        <v>3</v>
      </c>
      <c r="F90" s="84" t="s">
        <v>68</v>
      </c>
      <c r="G90" s="67"/>
      <c r="H90" s="69">
        <f>G90*12</f>
        <v>0</v>
      </c>
      <c r="I90" s="69"/>
      <c r="J90" s="69"/>
      <c r="K90" s="69"/>
      <c r="L90" s="69">
        <f t="shared" ref="L90:L92" si="22">+H90+I90+J90+K90</f>
        <v>0</v>
      </c>
      <c r="M90" s="82">
        <f>+G90-L90</f>
        <v>0</v>
      </c>
      <c r="N90" s="161"/>
    </row>
    <row r="91" spans="1:14" ht="31.5">
      <c r="A91" s="44">
        <v>2</v>
      </c>
      <c r="B91" s="44">
        <v>2</v>
      </c>
      <c r="C91" s="51">
        <v>7</v>
      </c>
      <c r="D91" s="44">
        <v>2</v>
      </c>
      <c r="E91" s="77">
        <v>4</v>
      </c>
      <c r="F91" s="84" t="s">
        <v>69</v>
      </c>
      <c r="G91" s="67">
        <v>100000</v>
      </c>
      <c r="H91" s="69"/>
      <c r="I91" s="69"/>
      <c r="J91" s="69"/>
      <c r="K91" s="69"/>
      <c r="L91" s="69">
        <f t="shared" si="22"/>
        <v>0</v>
      </c>
      <c r="M91" s="82">
        <f>+G91-L91</f>
        <v>100000</v>
      </c>
      <c r="N91" s="161"/>
    </row>
    <row r="92" spans="1:14" ht="31.5">
      <c r="A92" s="44">
        <v>2</v>
      </c>
      <c r="B92" s="44">
        <v>2</v>
      </c>
      <c r="C92" s="51">
        <v>7</v>
      </c>
      <c r="D92" s="44">
        <v>2</v>
      </c>
      <c r="E92" s="77">
        <v>6</v>
      </c>
      <c r="F92" s="84" t="s">
        <v>70</v>
      </c>
      <c r="G92" s="67">
        <v>200000</v>
      </c>
      <c r="H92" s="69">
        <f>1300+100+550+100+550</f>
        <v>2600</v>
      </c>
      <c r="I92" s="69">
        <f>9595.98+18218.11+1500+7000+300+100+550</f>
        <v>37264.089999999997</v>
      </c>
      <c r="J92" s="69">
        <f>700+4765.58+700</f>
        <v>6165.58</v>
      </c>
      <c r="K92" s="69">
        <f>100+600+2000+100+600+700</f>
        <v>4100</v>
      </c>
      <c r="L92" s="69">
        <f t="shared" si="22"/>
        <v>50129.67</v>
      </c>
      <c r="M92" s="82">
        <f>+G92-L92</f>
        <v>149870.33000000002</v>
      </c>
      <c r="N92" s="161"/>
    </row>
    <row r="93" spans="1:14" ht="15.75">
      <c r="A93" s="44"/>
      <c r="B93" s="44"/>
      <c r="C93" s="51"/>
      <c r="D93" s="44"/>
      <c r="E93" s="77"/>
      <c r="F93" s="65"/>
      <c r="G93" s="67"/>
      <c r="H93" s="69"/>
      <c r="I93" s="69"/>
      <c r="J93" s="69"/>
      <c r="K93" s="69"/>
      <c r="L93" s="69"/>
      <c r="M93" s="69"/>
      <c r="N93" s="161"/>
    </row>
    <row r="94" spans="1:14" ht="16.5" thickBot="1">
      <c r="A94" s="44">
        <v>2</v>
      </c>
      <c r="B94" s="44">
        <v>2</v>
      </c>
      <c r="C94" s="51">
        <v>8</v>
      </c>
      <c r="D94" s="44"/>
      <c r="E94" s="52"/>
      <c r="F94" s="63" t="s">
        <v>71</v>
      </c>
      <c r="G94" s="83">
        <f>SUM(G95+G96)+G98+G103</f>
        <v>3179720</v>
      </c>
      <c r="H94" s="55">
        <f t="shared" ref="H94:M94" si="23">H95+H96+H98+H103</f>
        <v>1717783.27</v>
      </c>
      <c r="I94" s="55">
        <f t="shared" si="23"/>
        <v>451655.91</v>
      </c>
      <c r="J94" s="55">
        <f t="shared" si="23"/>
        <v>1737353.07</v>
      </c>
      <c r="K94" s="55">
        <f t="shared" si="23"/>
        <v>949396.65999999992</v>
      </c>
      <c r="L94" s="55">
        <f t="shared" si="23"/>
        <v>4856188.9099999992</v>
      </c>
      <c r="M94" s="55">
        <f t="shared" si="23"/>
        <v>-1676468.9099999997</v>
      </c>
      <c r="N94" s="160"/>
    </row>
    <row r="95" spans="1:14" ht="15.75">
      <c r="A95" s="44">
        <v>2</v>
      </c>
      <c r="B95" s="44">
        <v>2</v>
      </c>
      <c r="C95" s="51">
        <v>8</v>
      </c>
      <c r="D95" s="44">
        <v>2</v>
      </c>
      <c r="E95" s="77"/>
      <c r="F95" s="85" t="s">
        <v>72</v>
      </c>
      <c r="G95" s="66">
        <v>111600</v>
      </c>
      <c r="H95" s="68">
        <f>60+60+7601</f>
        <v>7721</v>
      </c>
      <c r="I95" s="68">
        <f>60+60+60+11879.99</f>
        <v>12059.99</v>
      </c>
      <c r="J95" s="68">
        <f>60+60+7302.04</f>
        <v>7422.04</v>
      </c>
      <c r="K95" s="68">
        <f>60+660+7144</f>
        <v>7864</v>
      </c>
      <c r="L95" s="68">
        <f>+H95+I95+J95+K95</f>
        <v>35067.03</v>
      </c>
      <c r="M95" s="68">
        <f>+G95-L95</f>
        <v>76532.97</v>
      </c>
      <c r="N95" s="161"/>
    </row>
    <row r="96" spans="1:14" ht="31.5">
      <c r="A96" s="44">
        <v>2</v>
      </c>
      <c r="B96" s="44">
        <v>2</v>
      </c>
      <c r="C96" s="51">
        <v>8</v>
      </c>
      <c r="D96" s="44">
        <v>4</v>
      </c>
      <c r="E96" s="44"/>
      <c r="F96" s="85" t="s">
        <v>73</v>
      </c>
      <c r="G96" s="67">
        <v>0</v>
      </c>
      <c r="H96" s="69">
        <v>0</v>
      </c>
      <c r="I96" s="69"/>
      <c r="J96" s="69"/>
      <c r="K96" s="69"/>
      <c r="L96" s="69"/>
      <c r="M96" s="69">
        <f>+G96-H96-I96</f>
        <v>0</v>
      </c>
      <c r="N96" s="161"/>
    </row>
    <row r="97" spans="1:15" ht="15.75">
      <c r="A97" s="44"/>
      <c r="B97" s="44"/>
      <c r="C97" s="51"/>
      <c r="D97" s="44"/>
      <c r="E97" s="44"/>
      <c r="F97" s="85"/>
      <c r="G97" s="67"/>
      <c r="H97" s="69"/>
      <c r="I97" s="69"/>
      <c r="J97" s="69"/>
      <c r="K97" s="69"/>
      <c r="L97" s="69"/>
      <c r="M97" s="69"/>
      <c r="N97" s="161"/>
    </row>
    <row r="98" spans="1:15" ht="32.25" thickBot="1">
      <c r="A98" s="44">
        <v>2</v>
      </c>
      <c r="B98" s="44">
        <v>2</v>
      </c>
      <c r="C98" s="51">
        <v>8</v>
      </c>
      <c r="D98" s="44">
        <v>6</v>
      </c>
      <c r="E98" s="52"/>
      <c r="F98" s="86" t="s">
        <v>74</v>
      </c>
      <c r="G98" s="83">
        <f>G99+G100</f>
        <v>1332334</v>
      </c>
      <c r="H98" s="75">
        <f t="shared" ref="H98:M98" si="24">H99+H100+H101</f>
        <v>436665.85</v>
      </c>
      <c r="I98" s="75">
        <f t="shared" si="24"/>
        <v>16986</v>
      </c>
      <c r="J98" s="75">
        <f t="shared" si="24"/>
        <v>6981.54</v>
      </c>
      <c r="K98" s="75">
        <f t="shared" si="24"/>
        <v>26268</v>
      </c>
      <c r="L98" s="75">
        <f t="shared" si="24"/>
        <v>486901.39</v>
      </c>
      <c r="M98" s="75">
        <f t="shared" si="24"/>
        <v>845432.6100000001</v>
      </c>
      <c r="N98" s="161"/>
    </row>
    <row r="99" spans="1:15" ht="15.75">
      <c r="A99" s="44">
        <v>2</v>
      </c>
      <c r="B99" s="44">
        <v>2</v>
      </c>
      <c r="C99" s="51">
        <v>8</v>
      </c>
      <c r="D99" s="44">
        <v>6</v>
      </c>
      <c r="E99" s="44">
        <v>1</v>
      </c>
      <c r="F99" s="85" t="s">
        <v>75</v>
      </c>
      <c r="G99" s="149">
        <v>1182334</v>
      </c>
      <c r="H99" s="68">
        <v>0</v>
      </c>
      <c r="I99" s="68"/>
      <c r="J99" s="68"/>
      <c r="K99" s="68"/>
      <c r="L99" s="68">
        <f>+H99+I99+J99+K99</f>
        <v>0</v>
      </c>
      <c r="M99" s="68">
        <f>+G99-L99</f>
        <v>1182334</v>
      </c>
      <c r="N99" s="161"/>
    </row>
    <row r="100" spans="1:15" ht="15.75">
      <c r="A100" s="44">
        <v>2</v>
      </c>
      <c r="B100" s="44">
        <v>2</v>
      </c>
      <c r="C100" s="51">
        <v>8</v>
      </c>
      <c r="D100" s="44">
        <v>6</v>
      </c>
      <c r="E100" s="44">
        <v>2</v>
      </c>
      <c r="F100" s="85" t="s">
        <v>76</v>
      </c>
      <c r="G100" s="67">
        <v>150000</v>
      </c>
      <c r="H100" s="69">
        <v>3799.85</v>
      </c>
      <c r="I100" s="69">
        <f>11900+826+2900+1360</f>
        <v>16986</v>
      </c>
      <c r="J100" s="69">
        <f>4761.54+670+1550</f>
        <v>6981.54</v>
      </c>
      <c r="K100" s="69">
        <f>525+3680</f>
        <v>4205</v>
      </c>
      <c r="L100" s="69">
        <f>+H100+I100+J100+K100</f>
        <v>31972.39</v>
      </c>
      <c r="M100" s="69">
        <f>+G100-L100</f>
        <v>118027.61</v>
      </c>
      <c r="N100" s="161"/>
      <c r="O100" s="183"/>
    </row>
    <row r="101" spans="1:15" ht="15.75">
      <c r="A101" s="44">
        <v>2</v>
      </c>
      <c r="B101" s="44">
        <v>2</v>
      </c>
      <c r="C101" s="51">
        <v>8</v>
      </c>
      <c r="D101" s="44">
        <v>6</v>
      </c>
      <c r="E101" s="44">
        <v>3</v>
      </c>
      <c r="F101" s="85" t="s">
        <v>148</v>
      </c>
      <c r="G101" s="67"/>
      <c r="H101" s="69">
        <f>427556+5310</f>
        <v>432866</v>
      </c>
      <c r="I101" s="69"/>
      <c r="J101" s="69"/>
      <c r="K101" s="69">
        <f>1000+21063</f>
        <v>22063</v>
      </c>
      <c r="L101" s="69">
        <f>+H101+I101+J101+K101</f>
        <v>454929</v>
      </c>
      <c r="M101" s="69">
        <f>+G101-L101</f>
        <v>-454929</v>
      </c>
      <c r="N101" s="161"/>
    </row>
    <row r="102" spans="1:15" ht="15.75">
      <c r="A102" s="44"/>
      <c r="B102" s="44"/>
      <c r="C102" s="51"/>
      <c r="D102" s="44"/>
      <c r="E102" s="44"/>
      <c r="F102" s="85"/>
      <c r="G102" s="67"/>
      <c r="H102" s="69">
        <v>0</v>
      </c>
      <c r="I102" s="69"/>
      <c r="J102" s="69"/>
      <c r="K102" s="69"/>
      <c r="L102" s="69"/>
      <c r="M102" s="69">
        <v>0</v>
      </c>
      <c r="N102" s="161"/>
    </row>
    <row r="103" spans="1:15" ht="15.75">
      <c r="A103" s="44">
        <v>2</v>
      </c>
      <c r="B103" s="44">
        <v>2</v>
      </c>
      <c r="C103" s="51">
        <v>8</v>
      </c>
      <c r="D103" s="44">
        <v>7</v>
      </c>
      <c r="E103" s="52"/>
      <c r="F103" s="86" t="s">
        <v>77</v>
      </c>
      <c r="G103" s="87">
        <f t="shared" ref="G103:M103" si="25">G104+G105+G106+G107+G108</f>
        <v>1735786</v>
      </c>
      <c r="H103" s="76">
        <f>H104+H105+H106+H107+H108</f>
        <v>1273396.42</v>
      </c>
      <c r="I103" s="76">
        <f t="shared" si="25"/>
        <v>422609.91999999998</v>
      </c>
      <c r="J103" s="76">
        <f>J104+J105+J106+J107+J108</f>
        <v>1722949.49</v>
      </c>
      <c r="K103" s="76">
        <f>K104+K105+K106+K107+K108</f>
        <v>915264.65999999992</v>
      </c>
      <c r="L103" s="76">
        <f t="shared" si="25"/>
        <v>4334220.4899999993</v>
      </c>
      <c r="M103" s="76">
        <f t="shared" si="25"/>
        <v>-2598434.4899999998</v>
      </c>
      <c r="N103" s="160"/>
    </row>
    <row r="104" spans="1:15" ht="15.75">
      <c r="A104" s="44">
        <v>2</v>
      </c>
      <c r="B104" s="44">
        <v>2</v>
      </c>
      <c r="C104" s="51">
        <v>8</v>
      </c>
      <c r="D104" s="44">
        <v>7</v>
      </c>
      <c r="E104" s="44">
        <v>1</v>
      </c>
      <c r="F104" s="65" t="s">
        <v>78</v>
      </c>
      <c r="G104" s="67">
        <v>326769</v>
      </c>
      <c r="H104" s="69">
        <v>0</v>
      </c>
      <c r="I104" s="69"/>
      <c r="J104" s="69"/>
      <c r="K104" s="69"/>
      <c r="L104" s="69">
        <f>+H104+I104+J104+K104</f>
        <v>0</v>
      </c>
      <c r="M104" s="69">
        <f>+G104-L104</f>
        <v>326769</v>
      </c>
      <c r="N104" s="161"/>
    </row>
    <row r="105" spans="1:15" ht="31.5">
      <c r="A105" s="44">
        <v>2</v>
      </c>
      <c r="B105" s="44">
        <v>2</v>
      </c>
      <c r="C105" s="51">
        <v>8</v>
      </c>
      <c r="D105" s="44">
        <v>7</v>
      </c>
      <c r="E105" s="77">
        <v>3</v>
      </c>
      <c r="F105" s="65" t="s">
        <v>79</v>
      </c>
      <c r="G105" s="67">
        <v>300000</v>
      </c>
      <c r="H105" s="69"/>
      <c r="I105" s="69"/>
      <c r="J105" s="69"/>
      <c r="K105" s="69"/>
      <c r="L105" s="69">
        <f>+H105+I105+J105+K105</f>
        <v>0</v>
      </c>
      <c r="M105" s="69">
        <f>+G105-L105</f>
        <v>300000</v>
      </c>
      <c r="N105" s="161"/>
      <c r="O105" s="183"/>
    </row>
    <row r="106" spans="1:15" ht="15.75">
      <c r="A106" s="44">
        <v>2</v>
      </c>
      <c r="B106" s="44">
        <v>2</v>
      </c>
      <c r="C106" s="51">
        <v>8</v>
      </c>
      <c r="D106" s="44">
        <v>7</v>
      </c>
      <c r="E106" s="44">
        <v>4</v>
      </c>
      <c r="F106" s="65" t="s">
        <v>80</v>
      </c>
      <c r="G106" s="67">
        <v>50000</v>
      </c>
      <c r="H106" s="69">
        <v>11800</v>
      </c>
      <c r="I106" s="69"/>
      <c r="J106" s="69"/>
      <c r="K106" s="69"/>
      <c r="L106" s="69">
        <f t="shared" ref="L106:L108" si="26">+H106+I106+J106+K106</f>
        <v>11800</v>
      </c>
      <c r="M106" s="69">
        <f>+G106-L106</f>
        <v>38200</v>
      </c>
      <c r="N106" s="161"/>
    </row>
    <row r="107" spans="1:15" ht="31.5">
      <c r="A107" s="44">
        <v>2</v>
      </c>
      <c r="B107" s="44">
        <v>2</v>
      </c>
      <c r="C107" s="51">
        <v>8</v>
      </c>
      <c r="D107" s="44">
        <v>7</v>
      </c>
      <c r="E107" s="44">
        <v>5</v>
      </c>
      <c r="F107" s="65" t="s">
        <v>81</v>
      </c>
      <c r="G107" s="67">
        <v>275023</v>
      </c>
      <c r="H107" s="69"/>
      <c r="I107" s="69">
        <v>10286</v>
      </c>
      <c r="J107" s="69">
        <v>59549.57</v>
      </c>
      <c r="K107" s="69">
        <v>19740.240000000002</v>
      </c>
      <c r="L107" s="69">
        <f t="shared" si="26"/>
        <v>89575.810000000012</v>
      </c>
      <c r="M107" s="69">
        <f>+G107-L107</f>
        <v>185447.19</v>
      </c>
      <c r="N107" s="161"/>
      <c r="O107" s="183"/>
    </row>
    <row r="108" spans="1:15" ht="31.5">
      <c r="A108" s="44">
        <v>2</v>
      </c>
      <c r="B108" s="44">
        <v>2</v>
      </c>
      <c r="C108" s="51">
        <v>8</v>
      </c>
      <c r="D108" s="44">
        <v>7</v>
      </c>
      <c r="E108" s="44">
        <v>6</v>
      </c>
      <c r="F108" s="65" t="s">
        <v>82</v>
      </c>
      <c r="G108" s="67">
        <v>783994</v>
      </c>
      <c r="H108" s="69">
        <f>47200+14750+21240+38150+31498.92+232932+436600+144225.5+295000</f>
        <v>1261596.42</v>
      </c>
      <c r="I108" s="69">
        <f>64900+144225+600+31498.92+171100</f>
        <v>412323.92</v>
      </c>
      <c r="J108" s="69">
        <f>400+400+400+660800+171100+118000+144225.5+31498.92+217267.5+53100+266208</f>
        <v>1663399.92</v>
      </c>
      <c r="K108" s="69">
        <f>11800+31498.92+144225.5+118000+171100+17700+188800+212400</f>
        <v>895524.41999999993</v>
      </c>
      <c r="L108" s="69">
        <f t="shared" si="26"/>
        <v>4232844.68</v>
      </c>
      <c r="M108" s="69">
        <f>+G108-L108</f>
        <v>-3448850.6799999997</v>
      </c>
      <c r="N108" s="161"/>
    </row>
    <row r="109" spans="1:15" ht="16.5" thickBot="1">
      <c r="A109" s="44"/>
      <c r="B109" s="44"/>
      <c r="C109" s="51"/>
      <c r="D109" s="44"/>
      <c r="E109" s="44"/>
      <c r="F109" s="65"/>
      <c r="G109" s="70"/>
      <c r="H109" s="75"/>
      <c r="I109" s="75"/>
      <c r="J109" s="75"/>
      <c r="K109" s="75"/>
      <c r="L109" s="75"/>
      <c r="M109" s="75"/>
      <c r="N109" s="161"/>
    </row>
    <row r="110" spans="1:15" ht="32.25" thickBot="1">
      <c r="A110" s="44">
        <v>2</v>
      </c>
      <c r="B110" s="44">
        <v>2</v>
      </c>
      <c r="C110" s="51">
        <v>9</v>
      </c>
      <c r="D110" s="44"/>
      <c r="E110" s="44"/>
      <c r="F110" s="63" t="s">
        <v>83</v>
      </c>
      <c r="G110" s="59">
        <f t="shared" ref="G110:M110" si="27">G111+G112</f>
        <v>180000</v>
      </c>
      <c r="H110" s="122">
        <f>H111+H112</f>
        <v>81827.16</v>
      </c>
      <c r="I110" s="122">
        <f t="shared" si="27"/>
        <v>7375.4</v>
      </c>
      <c r="J110" s="122">
        <f>J111+J112</f>
        <v>11890.140000000001</v>
      </c>
      <c r="K110" s="122">
        <f>K111+K112</f>
        <v>8702.4500000000007</v>
      </c>
      <c r="L110" s="122">
        <f t="shared" si="27"/>
        <v>109795.15</v>
      </c>
      <c r="M110" s="122">
        <f t="shared" si="27"/>
        <v>70204.850000000006</v>
      </c>
      <c r="N110" s="167"/>
    </row>
    <row r="111" spans="1:15" ht="16.5" thickBot="1">
      <c r="A111" s="44">
        <v>2</v>
      </c>
      <c r="B111" s="44">
        <v>2</v>
      </c>
      <c r="C111" s="51">
        <v>9</v>
      </c>
      <c r="D111" s="44">
        <v>2</v>
      </c>
      <c r="E111" s="44"/>
      <c r="F111" s="85" t="s">
        <v>84</v>
      </c>
      <c r="G111" s="56"/>
      <c r="H111" s="88"/>
      <c r="I111" s="88"/>
      <c r="J111" s="88"/>
      <c r="K111" s="88"/>
      <c r="L111" s="88"/>
      <c r="M111" s="88"/>
      <c r="N111" s="168"/>
    </row>
    <row r="112" spans="1:15" ht="15.75">
      <c r="A112" s="44">
        <v>2</v>
      </c>
      <c r="B112" s="44">
        <v>2</v>
      </c>
      <c r="C112" s="51">
        <v>9</v>
      </c>
      <c r="D112" s="44">
        <v>2</v>
      </c>
      <c r="E112" s="44">
        <v>1</v>
      </c>
      <c r="F112" s="65" t="s">
        <v>84</v>
      </c>
      <c r="G112" s="67">
        <v>180000</v>
      </c>
      <c r="H112" s="69">
        <f>2679+340+1804.55+272+73228.45+175+100+340+25+1049.96+410+505+898.2</f>
        <v>81827.16</v>
      </c>
      <c r="I112" s="69">
        <f>1146.75+603+204+340+50+853.75+464.9+408+3100+205</f>
        <v>7375.4</v>
      </c>
      <c r="J112" s="69">
        <f>73.95+3089.2+50+25+440+4272.05+750+45+1259.99+360+408+20+330+408+358.95</f>
        <v>11890.140000000001</v>
      </c>
      <c r="K112" s="69">
        <f>1729.4+358.95+24+576+50+2393.5+90+140+360+50+839.85+360+576+1154.75</f>
        <v>8702.4500000000007</v>
      </c>
      <c r="L112" s="69">
        <f>+H112+I112+J112+K112</f>
        <v>109795.15</v>
      </c>
      <c r="M112" s="69">
        <f>+G112-L112</f>
        <v>70204.850000000006</v>
      </c>
      <c r="N112" s="161"/>
    </row>
    <row r="113" spans="1:14" ht="15.75">
      <c r="A113" s="44"/>
      <c r="B113" s="44"/>
      <c r="C113" s="51"/>
      <c r="D113" s="44"/>
      <c r="E113" s="44"/>
      <c r="F113" s="65"/>
      <c r="G113" s="67"/>
      <c r="H113" s="69"/>
      <c r="I113" s="69"/>
      <c r="J113" s="69"/>
      <c r="K113" s="69"/>
      <c r="L113" s="69"/>
      <c r="M113" s="69"/>
      <c r="N113" s="161"/>
    </row>
    <row r="114" spans="1:14" ht="16.5" thickBot="1">
      <c r="A114" s="44">
        <v>2</v>
      </c>
      <c r="B114" s="44">
        <v>3</v>
      </c>
      <c r="C114" s="51"/>
      <c r="D114" s="44"/>
      <c r="E114" s="52"/>
      <c r="F114" s="63" t="s">
        <v>85</v>
      </c>
      <c r="G114" s="54">
        <f t="shared" ref="G114:M114" si="28">G115+G119+G122+G128+G132+G140</f>
        <v>606500</v>
      </c>
      <c r="H114" s="119">
        <f>H115+H119+H122+H128+H132+H140</f>
        <v>26666.35</v>
      </c>
      <c r="I114" s="119">
        <f t="shared" si="28"/>
        <v>93227.65</v>
      </c>
      <c r="J114" s="119">
        <f>J115+J119+J122+J128+J132+J140</f>
        <v>8220.2999999999993</v>
      </c>
      <c r="K114" s="119">
        <f>K115+K119+K122+K128+K132+K140</f>
        <v>225975.78999999998</v>
      </c>
      <c r="L114" s="119">
        <f t="shared" si="28"/>
        <v>354090.09</v>
      </c>
      <c r="M114" s="119">
        <f t="shared" si="28"/>
        <v>252409.91</v>
      </c>
      <c r="N114" s="167"/>
    </row>
    <row r="115" spans="1:14" ht="32.25" thickBot="1">
      <c r="A115" s="44">
        <v>2</v>
      </c>
      <c r="B115" s="44">
        <v>3</v>
      </c>
      <c r="C115" s="51">
        <v>1</v>
      </c>
      <c r="D115" s="44"/>
      <c r="E115" s="52"/>
      <c r="F115" s="89" t="s">
        <v>86</v>
      </c>
      <c r="G115" s="71">
        <f>G116</f>
        <v>0</v>
      </c>
      <c r="H115" s="72">
        <f>H116</f>
        <v>0</v>
      </c>
      <c r="I115" s="72"/>
      <c r="J115" s="72"/>
      <c r="K115" s="72"/>
      <c r="L115" s="72"/>
      <c r="M115" s="72">
        <f>M116</f>
        <v>0</v>
      </c>
      <c r="N115" s="160"/>
    </row>
    <row r="116" spans="1:14" ht="15.75">
      <c r="A116" s="44">
        <v>2</v>
      </c>
      <c r="B116" s="44">
        <v>3</v>
      </c>
      <c r="C116" s="51">
        <v>1</v>
      </c>
      <c r="D116" s="44">
        <v>1</v>
      </c>
      <c r="E116" s="52"/>
      <c r="F116" s="90" t="s">
        <v>87</v>
      </c>
      <c r="G116" s="67">
        <f>G117</f>
        <v>0</v>
      </c>
      <c r="H116" s="62"/>
      <c r="I116" s="62"/>
      <c r="J116" s="62"/>
      <c r="K116" s="62"/>
      <c r="L116" s="62">
        <f>+H116+I116+J116+K116</f>
        <v>0</v>
      </c>
      <c r="M116" s="62">
        <f>+G116-H116-I116</f>
        <v>0</v>
      </c>
      <c r="N116" s="168"/>
    </row>
    <row r="117" spans="1:14" ht="15.75">
      <c r="A117" s="44">
        <v>2</v>
      </c>
      <c r="B117" s="44">
        <v>3</v>
      </c>
      <c r="C117" s="51">
        <v>1</v>
      </c>
      <c r="D117" s="44">
        <v>1</v>
      </c>
      <c r="E117" s="52">
        <v>1</v>
      </c>
      <c r="F117" s="90" t="s">
        <v>87</v>
      </c>
      <c r="G117" s="67"/>
      <c r="H117" s="69">
        <v>0</v>
      </c>
      <c r="I117" s="69"/>
      <c r="J117" s="69"/>
      <c r="K117" s="69"/>
      <c r="L117" s="69">
        <f>+H117+I117+J117+K117</f>
        <v>0</v>
      </c>
      <c r="M117" s="69">
        <v>0</v>
      </c>
      <c r="N117" s="161"/>
    </row>
    <row r="118" spans="1:14" ht="15.75">
      <c r="A118" s="44"/>
      <c r="B118" s="44"/>
      <c r="C118" s="51"/>
      <c r="D118" s="44"/>
      <c r="E118" s="52"/>
      <c r="F118" s="89"/>
      <c r="G118" s="67"/>
      <c r="H118" s="69"/>
      <c r="I118" s="69"/>
      <c r="J118" s="69"/>
      <c r="K118" s="69"/>
      <c r="L118" s="69"/>
      <c r="M118" s="69"/>
      <c r="N118" s="161"/>
    </row>
    <row r="119" spans="1:14" s="11" customFormat="1" ht="16.5" thickBot="1">
      <c r="A119" s="44">
        <v>2</v>
      </c>
      <c r="B119" s="44">
        <v>3</v>
      </c>
      <c r="C119" s="51">
        <v>2</v>
      </c>
      <c r="D119" s="44"/>
      <c r="E119" s="52"/>
      <c r="F119" s="89" t="s">
        <v>88</v>
      </c>
      <c r="G119" s="67"/>
      <c r="H119" s="69">
        <f t="shared" ref="H119:M119" si="29">H120</f>
        <v>0</v>
      </c>
      <c r="I119" s="69">
        <f t="shared" si="29"/>
        <v>4951</v>
      </c>
      <c r="J119" s="69">
        <f t="shared" si="29"/>
        <v>0</v>
      </c>
      <c r="K119" s="69">
        <f t="shared" si="29"/>
        <v>0</v>
      </c>
      <c r="L119" s="69">
        <f t="shared" si="29"/>
        <v>4951</v>
      </c>
      <c r="M119" s="69">
        <f t="shared" si="29"/>
        <v>-4951</v>
      </c>
      <c r="N119" s="161"/>
    </row>
    <row r="120" spans="1:14" ht="15.75">
      <c r="A120" s="44">
        <v>2</v>
      </c>
      <c r="B120" s="44">
        <v>3</v>
      </c>
      <c r="C120" s="51">
        <v>2</v>
      </c>
      <c r="D120" s="44">
        <v>3</v>
      </c>
      <c r="E120" s="52"/>
      <c r="F120" s="90" t="s">
        <v>89</v>
      </c>
      <c r="G120" s="66"/>
      <c r="H120" s="68">
        <v>0</v>
      </c>
      <c r="I120" s="68">
        <v>4951</v>
      </c>
      <c r="J120" s="68"/>
      <c r="K120" s="68"/>
      <c r="L120" s="68">
        <f>+H120+I120+J120+K120</f>
        <v>4951</v>
      </c>
      <c r="M120" s="68">
        <f>+G120-L120</f>
        <v>-4951</v>
      </c>
      <c r="N120" s="161"/>
    </row>
    <row r="121" spans="1:14" ht="15.75">
      <c r="A121" s="44"/>
      <c r="B121" s="44"/>
      <c r="C121" s="51"/>
      <c r="D121" s="44"/>
      <c r="E121" s="52"/>
      <c r="F121" s="89"/>
      <c r="G121" s="67"/>
      <c r="H121" s="62"/>
      <c r="I121" s="62"/>
      <c r="J121" s="62"/>
      <c r="K121" s="62"/>
      <c r="L121" s="62"/>
      <c r="M121" s="62"/>
      <c r="N121" s="168"/>
    </row>
    <row r="122" spans="1:14" ht="32.25" thickBot="1">
      <c r="A122" s="44">
        <v>2</v>
      </c>
      <c r="B122" s="73">
        <v>3</v>
      </c>
      <c r="C122" s="74">
        <v>3</v>
      </c>
      <c r="D122" s="52"/>
      <c r="E122" s="52"/>
      <c r="F122" s="63" t="s">
        <v>90</v>
      </c>
      <c r="G122" s="54">
        <f t="shared" ref="G122:L122" si="30">G123+G124+G125+G126</f>
        <v>101500</v>
      </c>
      <c r="H122" s="64">
        <f>H123+H124+H125+H126</f>
        <v>13764.7</v>
      </c>
      <c r="I122" s="64">
        <f t="shared" si="30"/>
        <v>14056</v>
      </c>
      <c r="J122" s="64">
        <f>J123+J124+J125+J126</f>
        <v>3191</v>
      </c>
      <c r="K122" s="64">
        <f>K123+K124+K125+K126</f>
        <v>0</v>
      </c>
      <c r="L122" s="64">
        <f t="shared" si="30"/>
        <v>31011.7</v>
      </c>
      <c r="M122" s="64">
        <f>M123+M124+M125+M126</f>
        <v>70488.3</v>
      </c>
      <c r="N122" s="160"/>
    </row>
    <row r="123" spans="1:14" ht="15.75">
      <c r="A123" s="44">
        <v>2</v>
      </c>
      <c r="B123" s="44">
        <v>3</v>
      </c>
      <c r="C123" s="51">
        <v>3</v>
      </c>
      <c r="D123" s="44">
        <v>1</v>
      </c>
      <c r="E123" s="44"/>
      <c r="F123" s="85" t="s">
        <v>91</v>
      </c>
      <c r="G123" s="66">
        <v>68000</v>
      </c>
      <c r="H123" s="68">
        <v>13764.7</v>
      </c>
      <c r="I123" s="68">
        <f>9+3191</f>
        <v>3200</v>
      </c>
      <c r="J123" s="68">
        <v>3191</v>
      </c>
      <c r="K123" s="68"/>
      <c r="L123" s="68">
        <f>+H123+I123+J123+K123</f>
        <v>20155.7</v>
      </c>
      <c r="M123" s="68">
        <f>+G123-L123</f>
        <v>47844.3</v>
      </c>
      <c r="N123" s="161"/>
    </row>
    <row r="124" spans="1:14" ht="15.75">
      <c r="A124" s="44">
        <v>2</v>
      </c>
      <c r="B124" s="44">
        <v>3</v>
      </c>
      <c r="C124" s="51">
        <v>3</v>
      </c>
      <c r="D124" s="44">
        <v>2</v>
      </c>
      <c r="E124" s="44"/>
      <c r="F124" s="85" t="s">
        <v>92</v>
      </c>
      <c r="G124" s="67">
        <v>23000</v>
      </c>
      <c r="H124" s="69">
        <v>0</v>
      </c>
      <c r="I124" s="69"/>
      <c r="J124" s="69"/>
      <c r="K124" s="69"/>
      <c r="L124" s="69">
        <f>+H124+I124+J124+K124</f>
        <v>0</v>
      </c>
      <c r="M124" s="69">
        <f>+G124-L124</f>
        <v>23000</v>
      </c>
      <c r="N124" s="161"/>
    </row>
    <row r="125" spans="1:14" s="15" customFormat="1" ht="15.75">
      <c r="A125" s="44">
        <v>2</v>
      </c>
      <c r="B125" s="44">
        <v>3</v>
      </c>
      <c r="C125" s="51">
        <v>3</v>
      </c>
      <c r="D125" s="44">
        <v>3</v>
      </c>
      <c r="E125" s="44"/>
      <c r="F125" s="85" t="s">
        <v>93</v>
      </c>
      <c r="G125" s="67">
        <v>0</v>
      </c>
      <c r="H125" s="69">
        <v>0</v>
      </c>
      <c r="I125" s="69">
        <v>10856</v>
      </c>
      <c r="J125" s="69"/>
      <c r="K125" s="69"/>
      <c r="L125" s="69">
        <f>+H125+I125+J125+K125</f>
        <v>10856</v>
      </c>
      <c r="M125" s="69">
        <f>+G125-L125</f>
        <v>-10856</v>
      </c>
      <c r="N125" s="161"/>
    </row>
    <row r="126" spans="1:14" s="15" customFormat="1" ht="15.75">
      <c r="A126" s="44">
        <v>2</v>
      </c>
      <c r="B126" s="44">
        <v>3</v>
      </c>
      <c r="C126" s="51">
        <v>3</v>
      </c>
      <c r="D126" s="44">
        <v>4</v>
      </c>
      <c r="E126" s="44"/>
      <c r="F126" s="85" t="s">
        <v>94</v>
      </c>
      <c r="G126" s="67">
        <v>10500</v>
      </c>
      <c r="H126" s="69"/>
      <c r="I126" s="69"/>
      <c r="J126" s="69"/>
      <c r="K126" s="69"/>
      <c r="L126" s="69"/>
      <c r="M126" s="69">
        <f>+G126-L126</f>
        <v>10500</v>
      </c>
      <c r="N126" s="161"/>
    </row>
    <row r="127" spans="1:14" s="16" customFormat="1" ht="15.75">
      <c r="A127" s="44"/>
      <c r="B127" s="44"/>
      <c r="C127" s="51"/>
      <c r="D127" s="44"/>
      <c r="E127" s="44"/>
      <c r="F127" s="85"/>
      <c r="G127" s="67"/>
      <c r="H127" s="69"/>
      <c r="I127" s="69"/>
      <c r="J127" s="69"/>
      <c r="K127" s="69"/>
      <c r="L127" s="69"/>
      <c r="M127" s="69"/>
      <c r="N127" s="161"/>
    </row>
    <row r="128" spans="1:14" ht="32.25" thickBot="1">
      <c r="A128" s="52">
        <v>2</v>
      </c>
      <c r="B128" s="52">
        <v>3</v>
      </c>
      <c r="C128" s="91">
        <v>7</v>
      </c>
      <c r="D128" s="52"/>
      <c r="E128" s="52"/>
      <c r="F128" s="86" t="s">
        <v>95</v>
      </c>
      <c r="G128" s="54">
        <f t="shared" ref="G128:M129" si="31">G129</f>
        <v>300000</v>
      </c>
      <c r="H128" s="75">
        <f t="shared" si="31"/>
        <v>0</v>
      </c>
      <c r="I128" s="75">
        <f t="shared" si="31"/>
        <v>0</v>
      </c>
      <c r="J128" s="75">
        <f>J129</f>
        <v>0</v>
      </c>
      <c r="K128" s="75">
        <f>K129</f>
        <v>0</v>
      </c>
      <c r="L128" s="75"/>
      <c r="M128" s="75">
        <f t="shared" si="31"/>
        <v>300000</v>
      </c>
      <c r="N128" s="161"/>
    </row>
    <row r="129" spans="1:15" ht="16.5" thickBot="1">
      <c r="A129" s="52">
        <v>2</v>
      </c>
      <c r="B129" s="52">
        <v>3</v>
      </c>
      <c r="C129" s="91">
        <v>7</v>
      </c>
      <c r="D129" s="52">
        <v>1</v>
      </c>
      <c r="E129" s="52"/>
      <c r="F129" s="86" t="s">
        <v>96</v>
      </c>
      <c r="G129" s="54">
        <f t="shared" si="31"/>
        <v>300000</v>
      </c>
      <c r="H129" s="57">
        <f t="shared" si="31"/>
        <v>0</v>
      </c>
      <c r="I129" s="57"/>
      <c r="J129" s="57"/>
      <c r="K129" s="57"/>
      <c r="L129" s="57"/>
      <c r="M129" s="57">
        <f t="shared" si="31"/>
        <v>300000</v>
      </c>
      <c r="N129" s="161"/>
    </row>
    <row r="130" spans="1:15" ht="15.75">
      <c r="A130" s="77">
        <v>2</v>
      </c>
      <c r="B130" s="77">
        <v>3</v>
      </c>
      <c r="C130" s="92">
        <v>7</v>
      </c>
      <c r="D130" s="77">
        <v>1</v>
      </c>
      <c r="E130" s="77">
        <v>1</v>
      </c>
      <c r="F130" s="65" t="s">
        <v>97</v>
      </c>
      <c r="G130" s="82">
        <v>300000</v>
      </c>
      <c r="H130" s="68"/>
      <c r="I130" s="68"/>
      <c r="J130" s="68"/>
      <c r="K130" s="68">
        <v>100000</v>
      </c>
      <c r="L130" s="68"/>
      <c r="M130" s="68">
        <f>+G130-L130</f>
        <v>300000</v>
      </c>
      <c r="N130" s="161"/>
    </row>
    <row r="131" spans="1:15" ht="15.75">
      <c r="A131" s="44"/>
      <c r="B131" s="44"/>
      <c r="C131" s="51"/>
      <c r="D131" s="44"/>
      <c r="E131" s="44"/>
      <c r="F131" s="65"/>
      <c r="G131" s="67"/>
      <c r="H131" s="69"/>
      <c r="I131" s="69"/>
      <c r="J131" s="69"/>
      <c r="K131" s="69"/>
      <c r="L131" s="69"/>
      <c r="M131" s="69"/>
      <c r="N131" s="161"/>
    </row>
    <row r="132" spans="1:15" ht="16.5" thickBot="1">
      <c r="A132" s="44">
        <v>2</v>
      </c>
      <c r="B132" s="44">
        <v>3</v>
      </c>
      <c r="C132" s="51">
        <v>9</v>
      </c>
      <c r="D132" s="44"/>
      <c r="E132" s="52"/>
      <c r="F132" s="63" t="s">
        <v>98</v>
      </c>
      <c r="G132" s="87">
        <f t="shared" ref="G132:L132" si="32">SUM(G133:G137)</f>
        <v>205000</v>
      </c>
      <c r="H132" s="87">
        <f>SUM(H133:H137)</f>
        <v>12901.65</v>
      </c>
      <c r="I132" s="195">
        <f t="shared" si="32"/>
        <v>20259.25</v>
      </c>
      <c r="J132" s="195">
        <f>SUM(J133:J137)</f>
        <v>5029.3</v>
      </c>
      <c r="K132" s="195">
        <f>SUM(K133:K137)</f>
        <v>225975.78999999998</v>
      </c>
      <c r="L132" s="195">
        <f t="shared" si="32"/>
        <v>264165.99</v>
      </c>
      <c r="M132" s="87">
        <f>SUM(M133:M137)</f>
        <v>-59165.99</v>
      </c>
      <c r="N132" s="157"/>
    </row>
    <row r="133" spans="1:15" ht="15.75">
      <c r="A133" s="44">
        <v>2</v>
      </c>
      <c r="B133" s="44">
        <v>3</v>
      </c>
      <c r="C133" s="51">
        <v>9</v>
      </c>
      <c r="D133" s="44">
        <v>1</v>
      </c>
      <c r="E133" s="44"/>
      <c r="F133" s="65" t="s">
        <v>99</v>
      </c>
      <c r="G133" s="66">
        <v>15000</v>
      </c>
      <c r="H133" s="69"/>
      <c r="I133" s="69"/>
      <c r="J133" s="69"/>
      <c r="K133" s="69"/>
      <c r="L133" s="69">
        <f>+H133+I133+J133</f>
        <v>0</v>
      </c>
      <c r="M133" s="69">
        <f>+G133-L133</f>
        <v>15000</v>
      </c>
      <c r="N133" s="161"/>
    </row>
    <row r="134" spans="1:15" ht="31.5">
      <c r="A134" s="44">
        <v>2</v>
      </c>
      <c r="B134" s="44">
        <v>3</v>
      </c>
      <c r="C134" s="51">
        <v>9</v>
      </c>
      <c r="D134" s="44">
        <v>2</v>
      </c>
      <c r="E134" s="44"/>
      <c r="F134" s="65" t="s">
        <v>100</v>
      </c>
      <c r="G134" s="67">
        <v>110000</v>
      </c>
      <c r="H134" s="69"/>
      <c r="I134" s="69">
        <f>9+3191+5422.1</f>
        <v>8622.1</v>
      </c>
      <c r="J134" s="69"/>
      <c r="K134" s="69">
        <f>91500+3980+83190</f>
        <v>178670</v>
      </c>
      <c r="L134" s="69">
        <f>+H134+I134+J134+K134</f>
        <v>187292.1</v>
      </c>
      <c r="M134" s="69">
        <f>+G134-L134</f>
        <v>-77292.100000000006</v>
      </c>
      <c r="N134" s="161"/>
      <c r="O134" s="183"/>
    </row>
    <row r="135" spans="1:15" ht="15.75">
      <c r="A135" s="44">
        <v>2</v>
      </c>
      <c r="B135" s="77">
        <v>3</v>
      </c>
      <c r="C135" s="77">
        <v>9</v>
      </c>
      <c r="D135" s="44">
        <v>5</v>
      </c>
      <c r="E135" s="44"/>
      <c r="F135" s="93" t="s">
        <v>101</v>
      </c>
      <c r="G135" s="67">
        <v>25000</v>
      </c>
      <c r="H135" s="69"/>
      <c r="I135" s="69">
        <f>20+1631.55+293.85</f>
        <v>1945.4</v>
      </c>
      <c r="J135" s="69">
        <v>293.85000000000002</v>
      </c>
      <c r="K135" s="69"/>
      <c r="L135" s="69">
        <f t="shared" ref="L135:L137" si="33">+H135+I135+J135+K135</f>
        <v>2239.25</v>
      </c>
      <c r="M135" s="69">
        <f>+G135-L135</f>
        <v>22760.75</v>
      </c>
      <c r="N135" s="161"/>
    </row>
    <row r="136" spans="1:15" ht="31.5">
      <c r="A136" s="44">
        <v>2</v>
      </c>
      <c r="B136" s="44">
        <v>3</v>
      </c>
      <c r="C136" s="51">
        <v>9</v>
      </c>
      <c r="D136" s="44">
        <v>8</v>
      </c>
      <c r="E136" s="44"/>
      <c r="F136" s="90" t="s">
        <v>102</v>
      </c>
      <c r="G136" s="67">
        <v>35000</v>
      </c>
      <c r="H136" s="69"/>
      <c r="I136" s="69">
        <f>767+6537.2</f>
        <v>7304.2</v>
      </c>
      <c r="J136" s="69">
        <f>790.6+150+137.8</f>
        <v>1078.4000000000001</v>
      </c>
      <c r="K136" s="69">
        <v>95</v>
      </c>
      <c r="L136" s="69">
        <f t="shared" si="33"/>
        <v>8477.6</v>
      </c>
      <c r="M136" s="69">
        <f>+G136-L136</f>
        <v>26522.400000000001</v>
      </c>
      <c r="N136" s="161"/>
    </row>
    <row r="137" spans="1:15" ht="15.75">
      <c r="A137" s="44">
        <v>2</v>
      </c>
      <c r="B137" s="44">
        <v>3</v>
      </c>
      <c r="C137" s="51">
        <v>9</v>
      </c>
      <c r="D137" s="44">
        <v>9</v>
      </c>
      <c r="E137" s="44"/>
      <c r="F137" s="90" t="s">
        <v>103</v>
      </c>
      <c r="G137" s="67">
        <v>20000</v>
      </c>
      <c r="H137" s="69">
        <f>6698+1216.8+4210+776.85</f>
        <v>12901.65</v>
      </c>
      <c r="I137" s="69">
        <f>857.8+1479.75+50</f>
        <v>2387.5500000000002</v>
      </c>
      <c r="J137" s="69">
        <f>517.9+1547.65+608.75+982.75</f>
        <v>3657.05</v>
      </c>
      <c r="K137" s="69">
        <f>2247.4+1524+18321.69+8027.54+2300+356.9+4530+7560.36+97.95+2244.95</f>
        <v>47210.789999999994</v>
      </c>
      <c r="L137" s="69">
        <f t="shared" si="33"/>
        <v>66157.039999999994</v>
      </c>
      <c r="M137" s="69">
        <f>+G137-L137</f>
        <v>-46157.039999999994</v>
      </c>
      <c r="N137" s="161"/>
    </row>
    <row r="138" spans="1:15" ht="15.75">
      <c r="A138" s="44">
        <v>2</v>
      </c>
      <c r="B138" s="44">
        <v>3</v>
      </c>
      <c r="C138" s="51">
        <v>9</v>
      </c>
      <c r="D138" s="44">
        <v>9</v>
      </c>
      <c r="E138" s="44">
        <v>2</v>
      </c>
      <c r="F138" s="90" t="s">
        <v>104</v>
      </c>
      <c r="G138" s="67"/>
      <c r="H138" s="69">
        <v>0</v>
      </c>
      <c r="I138" s="69"/>
      <c r="J138" s="69"/>
      <c r="K138" s="69"/>
      <c r="L138" s="69"/>
      <c r="M138" s="69">
        <v>0</v>
      </c>
      <c r="N138" s="161"/>
    </row>
    <row r="139" spans="1:15" ht="15.75">
      <c r="A139" s="44"/>
      <c r="B139" s="44"/>
      <c r="C139" s="51"/>
      <c r="D139" s="44"/>
      <c r="E139" s="44"/>
      <c r="F139" s="65"/>
      <c r="G139" s="67"/>
      <c r="H139" s="69"/>
      <c r="I139" s="69"/>
      <c r="J139" s="69"/>
      <c r="K139" s="69"/>
      <c r="L139" s="69"/>
      <c r="M139" s="69"/>
      <c r="N139" s="161"/>
    </row>
    <row r="140" spans="1:15" ht="32.25" thickBot="1">
      <c r="A140" s="44">
        <v>2</v>
      </c>
      <c r="B140" s="44">
        <v>6</v>
      </c>
      <c r="C140" s="51"/>
      <c r="D140" s="44"/>
      <c r="E140" s="52"/>
      <c r="F140" s="63" t="s">
        <v>105</v>
      </c>
      <c r="G140" s="55">
        <f t="shared" ref="G140:L140" si="34">G141+G149+G153</f>
        <v>0</v>
      </c>
      <c r="H140" s="55">
        <f>H141+H149+H153</f>
        <v>0</v>
      </c>
      <c r="I140" s="55">
        <f t="shared" si="34"/>
        <v>53961.4</v>
      </c>
      <c r="J140" s="55">
        <f t="shared" si="34"/>
        <v>0</v>
      </c>
      <c r="K140" s="55">
        <f t="shared" si="34"/>
        <v>0</v>
      </c>
      <c r="L140" s="55">
        <f t="shared" si="34"/>
        <v>53961.4</v>
      </c>
      <c r="M140" s="55">
        <f>M141+M149+M153</f>
        <v>-53961.4</v>
      </c>
      <c r="N140" s="160"/>
    </row>
    <row r="141" spans="1:15" ht="16.5" thickBot="1">
      <c r="A141" s="44">
        <v>2</v>
      </c>
      <c r="B141" s="44">
        <v>6</v>
      </c>
      <c r="C141" s="51">
        <v>1</v>
      </c>
      <c r="D141" s="44"/>
      <c r="E141" s="77"/>
      <c r="F141" s="86" t="s">
        <v>106</v>
      </c>
      <c r="G141" s="56">
        <f>G143+G144+G145+G147+G148</f>
        <v>0</v>
      </c>
      <c r="H141" s="123">
        <f>+H142+H143+H144+H145+H146+H147</f>
        <v>0</v>
      </c>
      <c r="I141" s="123">
        <f>+I142+I143+I144+I145+I146+I147</f>
        <v>53961.4</v>
      </c>
      <c r="J141" s="123"/>
      <c r="K141" s="123"/>
      <c r="L141" s="123">
        <f>+L142+L143+L144+L145+L146+L147</f>
        <v>53961.4</v>
      </c>
      <c r="M141" s="123">
        <f>+M142+M143+M144+M145+M146+M147</f>
        <v>-53961.4</v>
      </c>
      <c r="N141" s="166"/>
    </row>
    <row r="142" spans="1:15" ht="15.75">
      <c r="A142" s="44">
        <v>2</v>
      </c>
      <c r="B142" s="44">
        <v>6</v>
      </c>
      <c r="C142" s="51">
        <v>8</v>
      </c>
      <c r="D142" s="44">
        <v>8</v>
      </c>
      <c r="E142" s="77"/>
      <c r="F142" s="94" t="s">
        <v>107</v>
      </c>
      <c r="G142" s="67">
        <f>G144+G145+G146+G148+G149</f>
        <v>0</v>
      </c>
      <c r="H142" s="82">
        <f>H144+H145+H146+H148+H149</f>
        <v>0</v>
      </c>
      <c r="I142" s="82"/>
      <c r="J142" s="82"/>
      <c r="K142" s="82"/>
      <c r="L142" s="82">
        <f>+H142+I142</f>
        <v>0</v>
      </c>
      <c r="M142" s="82">
        <f t="shared" ref="M142:M147" si="35">+G142-L142</f>
        <v>0</v>
      </c>
      <c r="N142" s="166"/>
    </row>
    <row r="143" spans="1:15" ht="31.5">
      <c r="A143" s="44">
        <v>2</v>
      </c>
      <c r="B143" s="44">
        <v>6</v>
      </c>
      <c r="C143" s="51">
        <v>1</v>
      </c>
      <c r="D143" s="44">
        <v>1</v>
      </c>
      <c r="E143" s="77"/>
      <c r="F143" s="85" t="s">
        <v>108</v>
      </c>
      <c r="G143" s="67"/>
      <c r="H143" s="69"/>
      <c r="I143" s="69"/>
      <c r="J143" s="69"/>
      <c r="K143" s="69"/>
      <c r="L143" s="69">
        <f>+H143+I143</f>
        <v>0</v>
      </c>
      <c r="M143" s="69">
        <f t="shared" si="35"/>
        <v>0</v>
      </c>
      <c r="N143" s="161"/>
    </row>
    <row r="144" spans="1:15" ht="15.75">
      <c r="A144" s="44">
        <v>2</v>
      </c>
      <c r="B144" s="44">
        <v>6</v>
      </c>
      <c r="C144" s="51">
        <v>1</v>
      </c>
      <c r="D144" s="44">
        <v>4</v>
      </c>
      <c r="E144" s="77"/>
      <c r="F144" s="85" t="s">
        <v>109</v>
      </c>
      <c r="G144" s="67"/>
      <c r="H144" s="69"/>
      <c r="I144" s="69">
        <v>53961.4</v>
      </c>
      <c r="J144" s="69"/>
      <c r="K144" s="69"/>
      <c r="L144" s="69">
        <f>+H144+I144+J144</f>
        <v>53961.4</v>
      </c>
      <c r="M144" s="69">
        <f t="shared" si="35"/>
        <v>-53961.4</v>
      </c>
      <c r="N144" s="161"/>
    </row>
    <row r="145" spans="1:16" ht="24.75" customHeight="1">
      <c r="A145" s="44">
        <v>2</v>
      </c>
      <c r="B145" s="44">
        <v>6</v>
      </c>
      <c r="C145" s="51">
        <v>1</v>
      </c>
      <c r="D145" s="44">
        <v>7</v>
      </c>
      <c r="E145" s="77"/>
      <c r="F145" s="85" t="s">
        <v>110</v>
      </c>
      <c r="G145" s="67"/>
      <c r="H145" s="69">
        <v>0</v>
      </c>
      <c r="I145" s="69"/>
      <c r="J145" s="69"/>
      <c r="K145" s="69"/>
      <c r="L145" s="69">
        <f>+H145+I145</f>
        <v>0</v>
      </c>
      <c r="M145" s="69">
        <f t="shared" si="35"/>
        <v>0</v>
      </c>
      <c r="N145" s="161"/>
    </row>
    <row r="146" spans="1:16" ht="15.75">
      <c r="A146" s="44">
        <v>2</v>
      </c>
      <c r="B146" s="44">
        <v>6</v>
      </c>
      <c r="C146" s="51">
        <v>1</v>
      </c>
      <c r="D146" s="44">
        <v>8</v>
      </c>
      <c r="E146" s="77"/>
      <c r="F146" s="85" t="s">
        <v>111</v>
      </c>
      <c r="G146" s="67"/>
      <c r="H146" s="69"/>
      <c r="I146" s="69"/>
      <c r="J146" s="69"/>
      <c r="K146" s="69"/>
      <c r="L146" s="69">
        <f>+H146+I146</f>
        <v>0</v>
      </c>
      <c r="M146" s="69">
        <f t="shared" si="35"/>
        <v>0</v>
      </c>
      <c r="N146" s="161"/>
    </row>
    <row r="147" spans="1:16" ht="31.5">
      <c r="A147" s="44">
        <v>2</v>
      </c>
      <c r="B147" s="44">
        <v>6</v>
      </c>
      <c r="C147" s="51">
        <v>1</v>
      </c>
      <c r="D147" s="44">
        <v>9</v>
      </c>
      <c r="E147" s="77"/>
      <c r="F147" s="85" t="s">
        <v>112</v>
      </c>
      <c r="G147" s="67"/>
      <c r="H147" s="69"/>
      <c r="I147" s="69"/>
      <c r="J147" s="69"/>
      <c r="K147" s="69"/>
      <c r="L147" s="69"/>
      <c r="M147" s="69">
        <f t="shared" si="35"/>
        <v>0</v>
      </c>
      <c r="N147" s="161"/>
    </row>
    <row r="148" spans="1:16" ht="15.75">
      <c r="A148" s="44"/>
      <c r="B148" s="44"/>
      <c r="C148" s="51"/>
      <c r="D148" s="44"/>
      <c r="E148" s="52"/>
      <c r="F148" s="86"/>
      <c r="G148" s="83"/>
      <c r="H148" s="55"/>
      <c r="I148" s="55"/>
      <c r="J148" s="55"/>
      <c r="K148" s="55"/>
      <c r="L148" s="55"/>
      <c r="M148" s="55"/>
      <c r="N148" s="160"/>
    </row>
    <row r="149" spans="1:16" ht="32.25" thickBot="1">
      <c r="A149" s="44">
        <v>2</v>
      </c>
      <c r="B149" s="44">
        <v>6</v>
      </c>
      <c r="C149" s="51">
        <v>2</v>
      </c>
      <c r="D149" s="44"/>
      <c r="E149" s="52"/>
      <c r="F149" s="86" t="s">
        <v>113</v>
      </c>
      <c r="G149" s="54">
        <f>G150+G151</f>
        <v>0</v>
      </c>
      <c r="H149" s="75"/>
      <c r="I149" s="75">
        <f>I150+I151</f>
        <v>0</v>
      </c>
      <c r="J149" s="75">
        <f>J150+J151</f>
        <v>0</v>
      </c>
      <c r="K149" s="75">
        <f>K150+K151</f>
        <v>0</v>
      </c>
      <c r="L149" s="75">
        <f>L150+L151</f>
        <v>0</v>
      </c>
      <c r="M149" s="75">
        <f>M150+M151</f>
        <v>0</v>
      </c>
      <c r="N149" s="161"/>
      <c r="P149" s="180"/>
    </row>
    <row r="150" spans="1:16" ht="15.75">
      <c r="A150" s="44">
        <v>2</v>
      </c>
      <c r="B150" s="44">
        <v>6</v>
      </c>
      <c r="C150" s="51">
        <v>2</v>
      </c>
      <c r="D150" s="44">
        <v>1</v>
      </c>
      <c r="E150" s="77"/>
      <c r="F150" s="65" t="s">
        <v>114</v>
      </c>
      <c r="G150" s="67"/>
      <c r="H150" s="69">
        <v>0</v>
      </c>
      <c r="I150" s="69"/>
      <c r="J150" s="69"/>
      <c r="K150" s="69"/>
      <c r="L150" s="69">
        <f>+H150+I150</f>
        <v>0</v>
      </c>
      <c r="M150" s="69">
        <f>+G150-L150</f>
        <v>0</v>
      </c>
      <c r="N150" s="161"/>
    </row>
    <row r="151" spans="1:16" ht="31.5" customHeight="1">
      <c r="A151" s="44">
        <v>2</v>
      </c>
      <c r="B151" s="44">
        <v>6</v>
      </c>
      <c r="C151" s="51">
        <v>2</v>
      </c>
      <c r="D151" s="44">
        <v>3</v>
      </c>
      <c r="E151" s="77"/>
      <c r="F151" s="65" t="s">
        <v>115</v>
      </c>
      <c r="G151" s="67"/>
      <c r="H151" s="69">
        <f>G151*12</f>
        <v>0</v>
      </c>
      <c r="I151" s="69"/>
      <c r="J151" s="69"/>
      <c r="K151" s="69"/>
      <c r="L151" s="69">
        <f>+H151+I151</f>
        <v>0</v>
      </c>
      <c r="M151" s="69">
        <f>+G151-L151</f>
        <v>0</v>
      </c>
      <c r="N151" s="161"/>
    </row>
    <row r="152" spans="1:16" ht="15.75">
      <c r="A152" s="44"/>
      <c r="B152" s="44"/>
      <c r="C152" s="51"/>
      <c r="D152" s="44"/>
      <c r="E152" s="52"/>
      <c r="F152" s="63"/>
      <c r="G152" s="83"/>
      <c r="H152" s="55"/>
      <c r="I152" s="55"/>
      <c r="J152" s="55"/>
      <c r="K152" s="55"/>
      <c r="L152" s="55"/>
      <c r="M152" s="55"/>
      <c r="N152" s="160"/>
    </row>
    <row r="153" spans="1:16" ht="32.25" thickBot="1">
      <c r="A153" s="44">
        <v>2</v>
      </c>
      <c r="B153" s="44">
        <v>6</v>
      </c>
      <c r="C153" s="51">
        <v>4</v>
      </c>
      <c r="D153" s="44"/>
      <c r="E153" s="52"/>
      <c r="F153" s="63" t="s">
        <v>116</v>
      </c>
      <c r="G153" s="83">
        <f>G155+G156+G154</f>
        <v>0</v>
      </c>
      <c r="H153" s="69">
        <f>H154+H155</f>
        <v>0</v>
      </c>
      <c r="I153" s="69">
        <f>I154+I155</f>
        <v>0</v>
      </c>
      <c r="J153" s="69">
        <f t="shared" ref="J153:K153" si="36">J154+J155</f>
        <v>0</v>
      </c>
      <c r="K153" s="69">
        <f t="shared" si="36"/>
        <v>0</v>
      </c>
      <c r="L153" s="69">
        <f>L154+L155</f>
        <v>0</v>
      </c>
      <c r="M153" s="69">
        <f>M154+M155</f>
        <v>0</v>
      </c>
      <c r="N153" s="161"/>
    </row>
    <row r="154" spans="1:16" ht="31.5">
      <c r="A154" s="44">
        <v>2</v>
      </c>
      <c r="B154" s="44">
        <v>6</v>
      </c>
      <c r="C154" s="51">
        <v>4</v>
      </c>
      <c r="D154" s="44"/>
      <c r="E154" s="52"/>
      <c r="F154" s="85" t="s">
        <v>116</v>
      </c>
      <c r="G154" s="59"/>
      <c r="H154" s="68">
        <v>0</v>
      </c>
      <c r="I154" s="177"/>
      <c r="J154" s="177"/>
      <c r="K154" s="177"/>
      <c r="L154" s="68">
        <f>+H154+I154</f>
        <v>0</v>
      </c>
      <c r="M154" s="68">
        <f>+G154-L154</f>
        <v>0</v>
      </c>
      <c r="N154" s="161"/>
    </row>
    <row r="155" spans="1:16" ht="15.75">
      <c r="A155" s="44">
        <v>2</v>
      </c>
      <c r="B155" s="44">
        <v>6</v>
      </c>
      <c r="C155" s="51">
        <v>4</v>
      </c>
      <c r="D155" s="44">
        <v>1</v>
      </c>
      <c r="E155" s="44"/>
      <c r="F155" s="85" t="s">
        <v>117</v>
      </c>
      <c r="G155" s="67"/>
      <c r="H155" s="69">
        <v>0</v>
      </c>
      <c r="I155" s="176"/>
      <c r="J155" s="176"/>
      <c r="K155" s="176"/>
      <c r="L155" s="69">
        <f>+H155+I155</f>
        <v>0</v>
      </c>
      <c r="M155" s="69">
        <f>+G155-H155-I155</f>
        <v>0</v>
      </c>
      <c r="N155" s="161"/>
    </row>
    <row r="156" spans="1:16" ht="15.75">
      <c r="A156" s="44">
        <v>2</v>
      </c>
      <c r="B156" s="44">
        <v>6</v>
      </c>
      <c r="C156" s="51">
        <v>4</v>
      </c>
      <c r="D156" s="44">
        <v>7</v>
      </c>
      <c r="E156" s="44"/>
      <c r="F156" s="85" t="s">
        <v>118</v>
      </c>
      <c r="G156" s="67">
        <v>0</v>
      </c>
      <c r="H156" s="69">
        <v>0</v>
      </c>
      <c r="I156" s="176"/>
      <c r="J156" s="176"/>
      <c r="K156" s="176"/>
      <c r="L156" s="69"/>
      <c r="M156" s="69">
        <f>+G156-H156+I156</f>
        <v>0</v>
      </c>
    </row>
    <row r="157" spans="1:16" ht="16.5" thickBot="1">
      <c r="A157" s="44"/>
      <c r="B157" s="44"/>
      <c r="C157" s="51"/>
      <c r="D157" s="43"/>
      <c r="E157" s="44"/>
      <c r="F157" s="85"/>
      <c r="G157" s="70"/>
      <c r="H157" s="75"/>
      <c r="I157" s="178"/>
      <c r="J157" s="178"/>
      <c r="K157" s="178"/>
      <c r="L157" s="75"/>
      <c r="M157" s="75"/>
      <c r="N157" s="161"/>
    </row>
    <row r="158" spans="1:16" ht="16.5" thickBot="1">
      <c r="A158" s="95"/>
      <c r="B158" s="95"/>
      <c r="C158" s="96"/>
      <c r="D158" s="97"/>
      <c r="E158" s="97"/>
      <c r="F158" s="98" t="s">
        <v>119</v>
      </c>
      <c r="G158" s="54">
        <f t="shared" ref="G158:M158" si="37">G114+G53+G13</f>
        <v>54039167</v>
      </c>
      <c r="H158" s="54">
        <f>H114+H53+H13</f>
        <v>5359997.83</v>
      </c>
      <c r="I158" s="54">
        <f t="shared" si="37"/>
        <v>4552451.5999999996</v>
      </c>
      <c r="J158" s="54">
        <f t="shared" si="37"/>
        <v>5334753.34</v>
      </c>
      <c r="K158" s="54">
        <f t="shared" si="37"/>
        <v>4988436.7300000004</v>
      </c>
      <c r="L158" s="54">
        <f t="shared" si="37"/>
        <v>20235639.5</v>
      </c>
      <c r="M158" s="54">
        <f t="shared" si="37"/>
        <v>33803527.5</v>
      </c>
      <c r="N158" s="157"/>
    </row>
    <row r="159" spans="1:16" ht="15.75">
      <c r="A159" s="99"/>
      <c r="B159" s="99"/>
      <c r="C159" s="28"/>
      <c r="D159" s="28"/>
      <c r="E159" s="28"/>
      <c r="F159" s="156"/>
      <c r="G159" s="157"/>
      <c r="H159" s="157"/>
      <c r="I159" s="157"/>
      <c r="J159" s="157"/>
      <c r="K159" s="157"/>
      <c r="L159" s="157"/>
      <c r="M159" s="157"/>
      <c r="N159" s="157"/>
    </row>
    <row r="160" spans="1:16" ht="15.75">
      <c r="A160" s="99"/>
      <c r="B160" s="99"/>
      <c r="C160" s="28"/>
      <c r="D160" s="28"/>
      <c r="E160" s="28"/>
      <c r="F160" s="156"/>
      <c r="G160" s="157"/>
      <c r="H160" s="157"/>
      <c r="I160" s="157"/>
      <c r="J160" s="157"/>
      <c r="K160" s="157"/>
      <c r="L160" s="157"/>
      <c r="M160" s="157"/>
      <c r="N160" s="157"/>
    </row>
    <row r="161" spans="1:14" ht="15.75">
      <c r="A161" s="99"/>
      <c r="B161" s="99"/>
      <c r="C161" s="28"/>
      <c r="D161" s="28"/>
      <c r="E161" s="100"/>
      <c r="G161" s="102"/>
      <c r="H161" s="103"/>
      <c r="I161" s="103"/>
      <c r="J161" s="103"/>
      <c r="K161" s="103"/>
      <c r="L161" s="103"/>
      <c r="M161" s="20"/>
      <c r="N161" s="19"/>
    </row>
    <row r="162" spans="1:14" ht="18.75" thickBot="1">
      <c r="A162" s="26"/>
      <c r="B162" s="26"/>
      <c r="C162" s="26"/>
      <c r="D162" s="26"/>
      <c r="E162" s="26"/>
      <c r="F162" s="101"/>
      <c r="G162" s="104"/>
      <c r="H162" s="104"/>
      <c r="I162" s="104"/>
      <c r="J162" s="104"/>
      <c r="K162" s="104"/>
      <c r="L162" s="104"/>
      <c r="M162" s="20"/>
      <c r="N162" s="20"/>
    </row>
    <row r="163" spans="1:14" ht="18.75">
      <c r="A163" s="26"/>
      <c r="B163" s="26"/>
      <c r="C163" s="26"/>
      <c r="D163" s="26"/>
      <c r="E163" s="26"/>
      <c r="F163" s="105" t="s">
        <v>120</v>
      </c>
      <c r="G163" s="104"/>
      <c r="H163" s="104"/>
      <c r="I163" s="104"/>
      <c r="J163" s="104"/>
      <c r="K163" s="104"/>
      <c r="L163" s="104"/>
      <c r="M163" s="154"/>
      <c r="N163" s="154"/>
    </row>
    <row r="164" spans="1:14" ht="18.75">
      <c r="A164" s="26"/>
      <c r="B164" s="26"/>
      <c r="C164" s="26"/>
      <c r="D164" s="26"/>
      <c r="E164" s="26"/>
      <c r="F164" s="101" t="s">
        <v>121</v>
      </c>
      <c r="G164" s="106"/>
      <c r="H164" s="104"/>
      <c r="I164" s="104"/>
      <c r="J164" s="104"/>
      <c r="K164" s="104"/>
      <c r="L164" s="104"/>
      <c r="M164" s="154"/>
      <c r="N164" s="18"/>
    </row>
    <row r="165" spans="1:14" ht="18.75">
      <c r="A165" s="26"/>
      <c r="B165" s="26"/>
      <c r="C165" s="26"/>
      <c r="D165" s="26"/>
      <c r="E165" s="26"/>
      <c r="F165" s="101"/>
      <c r="G165" s="104"/>
      <c r="H165" s="104"/>
      <c r="I165" s="104"/>
      <c r="J165" s="104"/>
      <c r="K165" s="104"/>
      <c r="L165" s="104"/>
      <c r="M165" s="18"/>
      <c r="N165" s="18"/>
    </row>
    <row r="166" spans="1:14" ht="18.75">
      <c r="A166" s="26"/>
      <c r="B166" s="26"/>
      <c r="C166" s="26"/>
      <c r="D166" s="26"/>
      <c r="E166" s="26"/>
      <c r="F166" s="101"/>
      <c r="G166" s="106"/>
      <c r="H166" s="13"/>
      <c r="I166" s="13"/>
      <c r="J166" s="13"/>
      <c r="K166" s="13"/>
      <c r="L166" s="13"/>
      <c r="M166" s="22"/>
      <c r="N166" s="22"/>
    </row>
    <row r="167" spans="1:14" ht="18.75">
      <c r="A167" s="26"/>
      <c r="B167" s="26"/>
      <c r="C167" s="26"/>
      <c r="D167" s="26"/>
      <c r="E167" s="26"/>
      <c r="F167" s="101"/>
      <c r="G167" s="106"/>
      <c r="H167" s="13"/>
      <c r="I167" s="13"/>
      <c r="J167" s="13"/>
      <c r="K167" s="13"/>
      <c r="L167" s="13"/>
      <c r="M167" s="22"/>
      <c r="N167" s="22"/>
    </row>
    <row r="168" spans="1:14" ht="18.75">
      <c r="A168" s="26"/>
      <c r="B168" s="26"/>
      <c r="C168" s="26"/>
      <c r="D168" s="26"/>
      <c r="E168" s="26"/>
      <c r="F168" s="101"/>
      <c r="G168" s="106"/>
      <c r="H168" s="13"/>
      <c r="I168" s="13"/>
      <c r="J168" s="13"/>
      <c r="K168" s="13"/>
      <c r="L168" s="13"/>
      <c r="M168" s="22"/>
      <c r="N168" s="22"/>
    </row>
    <row r="169" spans="1:14" ht="18">
      <c r="A169" s="26"/>
      <c r="B169" s="26"/>
      <c r="C169" s="26"/>
      <c r="D169" s="26"/>
      <c r="E169" s="26"/>
      <c r="F169" s="101" t="s">
        <v>187</v>
      </c>
      <c r="G169" s="107"/>
      <c r="H169" s="13"/>
      <c r="I169" s="13"/>
      <c r="J169" s="13"/>
      <c r="K169" s="13"/>
      <c r="L169" s="13"/>
      <c r="M169" s="19"/>
      <c r="N169" s="19"/>
    </row>
    <row r="170" spans="1:14" ht="18">
      <c r="A170" s="26"/>
      <c r="B170" s="26"/>
      <c r="C170" s="26"/>
      <c r="D170" s="26"/>
      <c r="E170" s="26"/>
      <c r="F170" s="101" t="s">
        <v>123</v>
      </c>
      <c r="G170" s="107"/>
      <c r="H170" s="13"/>
      <c r="I170" s="13"/>
      <c r="J170" s="13"/>
      <c r="K170" s="13"/>
      <c r="L170" s="13"/>
      <c r="M170" s="19"/>
      <c r="N170" s="19"/>
    </row>
    <row r="171" spans="1:14" ht="15.75">
      <c r="A171" s="26"/>
      <c r="B171" s="26"/>
      <c r="C171" s="26"/>
      <c r="D171" s="26"/>
      <c r="E171" s="26"/>
      <c r="F171" s="99"/>
      <c r="G171" s="108"/>
      <c r="H171" s="13"/>
      <c r="I171" s="13"/>
      <c r="J171" s="13"/>
      <c r="K171" s="13"/>
      <c r="L171" s="13"/>
      <c r="M171" s="24"/>
      <c r="N171" s="24"/>
    </row>
    <row r="172" spans="1:14" ht="15.75">
      <c r="A172" s="26"/>
      <c r="B172" s="26"/>
      <c r="C172" s="26"/>
      <c r="D172" s="26"/>
      <c r="E172" s="26"/>
      <c r="F172" s="99"/>
      <c r="G172" s="108"/>
      <c r="H172" s="13"/>
      <c r="I172" s="13"/>
      <c r="J172" s="13"/>
      <c r="K172" s="13"/>
      <c r="L172" s="13"/>
      <c r="M172" s="24"/>
      <c r="N172" s="24"/>
    </row>
    <row r="173" spans="1:14" ht="18">
      <c r="A173" s="26"/>
      <c r="B173" s="26"/>
      <c r="C173" s="26"/>
      <c r="D173" s="26"/>
      <c r="E173" s="26"/>
      <c r="F173" s="26"/>
      <c r="G173" s="110"/>
      <c r="H173" s="13"/>
      <c r="I173" s="13"/>
      <c r="J173" s="13"/>
      <c r="K173" s="13"/>
      <c r="L173" s="13"/>
      <c r="M173" s="23"/>
      <c r="N173" s="23"/>
    </row>
    <row r="174" spans="1:14" ht="18">
      <c r="A174" s="26"/>
      <c r="B174" s="26"/>
      <c r="C174" s="26"/>
      <c r="D174" s="26"/>
      <c r="E174" s="26"/>
      <c r="F174" s="26"/>
      <c r="G174" s="101"/>
      <c r="H174" s="13"/>
      <c r="I174" s="13"/>
      <c r="J174" s="13"/>
      <c r="K174" s="13"/>
      <c r="L174" s="13"/>
      <c r="M174" s="21"/>
      <c r="N174" s="21"/>
    </row>
    <row r="175" spans="1:14" ht="18">
      <c r="A175" s="26"/>
      <c r="B175" s="26"/>
      <c r="C175" s="26"/>
      <c r="D175" s="112"/>
      <c r="E175" s="26"/>
      <c r="F175" s="101" t="s">
        <v>124</v>
      </c>
      <c r="G175" s="112"/>
      <c r="H175" s="111"/>
      <c r="I175" s="111"/>
      <c r="J175" s="111"/>
      <c r="K175" s="111"/>
      <c r="L175" s="111"/>
      <c r="M175" s="21"/>
      <c r="N175" s="21"/>
    </row>
    <row r="176" spans="1:14" ht="18">
      <c r="A176" s="26"/>
      <c r="B176" s="26"/>
      <c r="C176" s="26"/>
      <c r="D176" s="26"/>
      <c r="E176" s="26"/>
      <c r="F176" s="101" t="s">
        <v>125</v>
      </c>
      <c r="G176" s="26"/>
      <c r="H176" s="113"/>
      <c r="I176" s="113"/>
      <c r="J176" s="113"/>
      <c r="K176" s="113"/>
      <c r="L176" s="113"/>
      <c r="M176" s="25"/>
      <c r="N176" s="25"/>
    </row>
    <row r="177" spans="1:14" ht="18">
      <c r="A177" s="26"/>
      <c r="B177" s="26"/>
      <c r="C177" s="26"/>
      <c r="D177" s="26"/>
      <c r="E177" s="26"/>
      <c r="F177" s="101"/>
      <c r="G177" s="26"/>
      <c r="H177" s="113"/>
      <c r="I177" s="113"/>
      <c r="J177" s="113"/>
      <c r="K177" s="113"/>
      <c r="L177" s="113"/>
      <c r="M177" s="25"/>
      <c r="N177" s="25"/>
    </row>
    <row r="178" spans="1:14">
      <c r="A178" s="26"/>
      <c r="B178" s="26"/>
      <c r="C178" s="26"/>
      <c r="D178" s="26"/>
      <c r="E178" s="26"/>
      <c r="F178" s="26"/>
      <c r="G178" s="26"/>
      <c r="H178" s="113"/>
      <c r="I178" s="113"/>
      <c r="J178" s="113"/>
      <c r="K178" s="113"/>
      <c r="L178" s="113"/>
      <c r="M178" s="25"/>
      <c r="N178" s="25"/>
    </row>
    <row r="179" spans="1:14">
      <c r="A179" s="26"/>
      <c r="B179" s="26"/>
      <c r="C179" s="26"/>
      <c r="D179" s="26"/>
      <c r="E179" s="26"/>
      <c r="F179" s="26"/>
      <c r="G179" s="26"/>
      <c r="H179" s="113"/>
      <c r="I179" s="113"/>
      <c r="J179" s="113"/>
      <c r="K179" s="113"/>
      <c r="L179" s="113"/>
      <c r="M179" s="13"/>
      <c r="N179" s="13"/>
    </row>
    <row r="180" spans="1:14">
      <c r="A180" s="26"/>
      <c r="B180" s="26"/>
      <c r="C180" s="26"/>
      <c r="D180" s="26"/>
      <c r="E180" s="26"/>
      <c r="F180" s="26"/>
      <c r="G180" s="26"/>
      <c r="H180" s="113"/>
      <c r="I180" s="113"/>
      <c r="J180" s="113"/>
      <c r="K180" s="113"/>
      <c r="L180" s="113"/>
      <c r="M180" s="13"/>
      <c r="N180" s="13"/>
    </row>
    <row r="181" spans="1:14">
      <c r="A181" s="26"/>
      <c r="B181" s="26"/>
      <c r="C181" s="26"/>
      <c r="D181" s="26"/>
      <c r="E181" s="26"/>
      <c r="G181" s="26"/>
      <c r="H181" s="113"/>
      <c r="I181" s="113"/>
      <c r="J181" s="113"/>
      <c r="K181" s="113"/>
      <c r="L181" s="113"/>
      <c r="M181" s="13"/>
      <c r="N181" s="13"/>
    </row>
    <row r="182" spans="1:14">
      <c r="A182" s="26"/>
      <c r="B182" s="26"/>
      <c r="C182" s="26"/>
      <c r="D182" s="26"/>
      <c r="E182" s="26"/>
      <c r="G182" s="26"/>
      <c r="H182" s="27"/>
      <c r="I182" s="27"/>
      <c r="J182" s="27"/>
      <c r="K182" s="27"/>
      <c r="L182" s="27"/>
      <c r="M182" s="13"/>
      <c r="N182" s="13"/>
    </row>
    <row r="183" spans="1:14" ht="18">
      <c r="A183" s="26"/>
      <c r="B183" s="26"/>
      <c r="C183" s="26"/>
      <c r="D183" s="26"/>
      <c r="E183" s="26"/>
      <c r="F183" s="101"/>
      <c r="G183" s="26"/>
      <c r="H183" s="27"/>
      <c r="I183" s="27"/>
      <c r="J183" s="27"/>
      <c r="K183" s="27"/>
      <c r="L183" s="27"/>
      <c r="M183" s="13"/>
      <c r="N183" s="13"/>
    </row>
    <row r="184" spans="1:14">
      <c r="A184" s="26"/>
      <c r="B184" s="26"/>
      <c r="C184" s="26"/>
      <c r="D184" s="26"/>
      <c r="E184" s="26"/>
      <c r="F184" s="26"/>
      <c r="G184" s="26"/>
      <c r="H184" s="27"/>
      <c r="I184" s="27"/>
      <c r="J184" s="27"/>
      <c r="K184" s="27"/>
      <c r="L184" s="27"/>
      <c r="M184" s="13"/>
      <c r="N184" s="13"/>
    </row>
    <row r="185" spans="1:14">
      <c r="A185" s="26"/>
      <c r="B185" s="26"/>
      <c r="C185" s="26"/>
      <c r="D185" s="26"/>
      <c r="E185" s="26"/>
      <c r="F185" s="26"/>
      <c r="G185" s="26"/>
      <c r="H185" s="27"/>
      <c r="I185" s="27"/>
      <c r="J185" s="27"/>
      <c r="K185" s="27"/>
      <c r="L185" s="27"/>
      <c r="M185" s="13"/>
      <c r="N185" s="13"/>
    </row>
    <row r="186" spans="1:14">
      <c r="A186" s="26"/>
      <c r="B186" s="26"/>
      <c r="C186" s="26"/>
      <c r="D186" s="26"/>
      <c r="E186" s="26"/>
      <c r="F186" s="26"/>
      <c r="G186" s="26"/>
      <c r="H186" s="27"/>
      <c r="I186" s="27"/>
      <c r="J186" s="27"/>
      <c r="K186" s="27"/>
      <c r="L186" s="27"/>
      <c r="M186" s="13"/>
      <c r="N186" s="13"/>
    </row>
    <row r="187" spans="1:14">
      <c r="M187" s="13"/>
      <c r="N187" s="13"/>
    </row>
    <row r="188" spans="1:14">
      <c r="M188" s="13"/>
      <c r="N188" s="13"/>
    </row>
    <row r="189" spans="1:14">
      <c r="M189" s="13"/>
      <c r="N189" s="13"/>
    </row>
    <row r="190" spans="1:14">
      <c r="M190" s="13"/>
      <c r="N190" s="13"/>
    </row>
    <row r="191" spans="1:14">
      <c r="M191" s="13"/>
      <c r="N191" s="13"/>
    </row>
    <row r="192" spans="1:14">
      <c r="M192" s="13"/>
      <c r="N192" s="13"/>
    </row>
    <row r="193" spans="13:14">
      <c r="M193" s="13"/>
      <c r="N193" s="13"/>
    </row>
    <row r="194" spans="13:14">
      <c r="M194" s="13"/>
      <c r="N194" s="13"/>
    </row>
    <row r="195" spans="13:14">
      <c r="M195" s="13"/>
      <c r="N195" s="13"/>
    </row>
    <row r="196" spans="13:14">
      <c r="M196" s="13"/>
      <c r="N196" s="13"/>
    </row>
    <row r="197" spans="13:14">
      <c r="M197" s="13"/>
      <c r="N197" s="13"/>
    </row>
    <row r="198" spans="13:14">
      <c r="M198" s="13"/>
      <c r="N198" s="13"/>
    </row>
    <row r="199" spans="13:14">
      <c r="M199" s="13"/>
      <c r="N199" s="13"/>
    </row>
    <row r="200" spans="13:14">
      <c r="M200" s="13"/>
      <c r="N200" s="13"/>
    </row>
    <row r="201" spans="13:14">
      <c r="M201" s="13"/>
      <c r="N201" s="13"/>
    </row>
    <row r="202" spans="13:14">
      <c r="M202" s="13"/>
      <c r="N202" s="13"/>
    </row>
    <row r="203" spans="13:14">
      <c r="M203" s="13"/>
      <c r="N203" s="13"/>
    </row>
    <row r="204" spans="13:14">
      <c r="M204" s="13"/>
      <c r="N204" s="13"/>
    </row>
    <row r="205" spans="13:14">
      <c r="M205" s="13"/>
      <c r="N205" s="13"/>
    </row>
    <row r="206" spans="13:14">
      <c r="M206" s="13"/>
      <c r="N206" s="13"/>
    </row>
    <row r="207" spans="13:14">
      <c r="M207" s="13"/>
      <c r="N207" s="13"/>
    </row>
    <row r="208" spans="13:14">
      <c r="M208" s="13"/>
      <c r="N208" s="13"/>
    </row>
    <row r="209" spans="13:14">
      <c r="M209" s="13"/>
      <c r="N209" s="13"/>
    </row>
    <row r="210" spans="13:14">
      <c r="M210" s="13"/>
      <c r="N210" s="13"/>
    </row>
    <row r="211" spans="13:14">
      <c r="M211" s="13"/>
      <c r="N211" s="13"/>
    </row>
    <row r="212" spans="13:14">
      <c r="M212" s="13"/>
      <c r="N212" s="13"/>
    </row>
    <row r="213" spans="13:14">
      <c r="M213" s="13"/>
      <c r="N213" s="13"/>
    </row>
    <row r="214" spans="13:14">
      <c r="M214" s="13"/>
      <c r="N214" s="13"/>
    </row>
    <row r="215" spans="13:14">
      <c r="M215" s="13"/>
      <c r="N215" s="13"/>
    </row>
    <row r="216" spans="13:14">
      <c r="M216" s="13"/>
      <c r="N216" s="13"/>
    </row>
    <row r="217" spans="13:14">
      <c r="M217" s="13"/>
      <c r="N217" s="13"/>
    </row>
    <row r="218" spans="13:14">
      <c r="M218" s="13"/>
      <c r="N218" s="13"/>
    </row>
    <row r="219" spans="13:14">
      <c r="M219" s="13"/>
      <c r="N219" s="13"/>
    </row>
    <row r="220" spans="13:14">
      <c r="M220" s="13"/>
      <c r="N220" s="13"/>
    </row>
    <row r="221" spans="13:14">
      <c r="M221" s="13"/>
      <c r="N221" s="13"/>
    </row>
    <row r="222" spans="13:14">
      <c r="M222" s="13"/>
      <c r="N222" s="13"/>
    </row>
    <row r="223" spans="13:14">
      <c r="M223" s="13"/>
      <c r="N223" s="13"/>
    </row>
    <row r="224" spans="13:14">
      <c r="M224" s="13"/>
      <c r="N224" s="13"/>
    </row>
    <row r="225" spans="13:14">
      <c r="M225" s="13"/>
      <c r="N225" s="13"/>
    </row>
    <row r="226" spans="13:14">
      <c r="M226" s="13"/>
      <c r="N226" s="13"/>
    </row>
    <row r="227" spans="13:14">
      <c r="M227" s="13"/>
      <c r="N227" s="13"/>
    </row>
    <row r="228" spans="13:14">
      <c r="M228" s="13"/>
      <c r="N228" s="13"/>
    </row>
    <row r="229" spans="13:14">
      <c r="M229" s="13"/>
      <c r="N229" s="13"/>
    </row>
    <row r="230" spans="13:14">
      <c r="M230" s="13"/>
      <c r="N230" s="13"/>
    </row>
    <row r="231" spans="13:14">
      <c r="M231" s="13"/>
      <c r="N231" s="13"/>
    </row>
    <row r="232" spans="13:14">
      <c r="M232" s="13"/>
      <c r="N232" s="13"/>
    </row>
    <row r="233" spans="13:14">
      <c r="M233" s="13"/>
      <c r="N233" s="13"/>
    </row>
    <row r="234" spans="13:14">
      <c r="M234" s="13"/>
      <c r="N234" s="13"/>
    </row>
    <row r="235" spans="13:14">
      <c r="M235" s="13"/>
      <c r="N235" s="13"/>
    </row>
    <row r="236" spans="13:14">
      <c r="M236" s="13"/>
      <c r="N236" s="13"/>
    </row>
    <row r="237" spans="13:14">
      <c r="M237" s="13"/>
      <c r="N237" s="13"/>
    </row>
    <row r="238" spans="13:14">
      <c r="M238" s="13"/>
      <c r="N238" s="13"/>
    </row>
    <row r="239" spans="13:14">
      <c r="M239" s="13"/>
      <c r="N239" s="13"/>
    </row>
    <row r="240" spans="13:14">
      <c r="M240" s="13"/>
      <c r="N240" s="13"/>
    </row>
    <row r="241" spans="13:14">
      <c r="M241" s="13"/>
      <c r="N241" s="13"/>
    </row>
    <row r="242" spans="13:14">
      <c r="M242" s="13"/>
      <c r="N242" s="13"/>
    </row>
    <row r="243" spans="13:14">
      <c r="M243" s="13"/>
      <c r="N243" s="13"/>
    </row>
    <row r="244" spans="13:14">
      <c r="M244" s="13"/>
      <c r="N244" s="13"/>
    </row>
    <row r="245" spans="13:14">
      <c r="M245" s="13"/>
      <c r="N245" s="13"/>
    </row>
    <row r="246" spans="13:14">
      <c r="M246" s="13"/>
      <c r="N246" s="13"/>
    </row>
    <row r="247" spans="13:14">
      <c r="M247" s="13"/>
      <c r="N247" s="13"/>
    </row>
    <row r="248" spans="13:14">
      <c r="M248" s="13"/>
      <c r="N248" s="13"/>
    </row>
    <row r="249" spans="13:14">
      <c r="M249" s="13"/>
      <c r="N249" s="13"/>
    </row>
    <row r="250" spans="13:14">
      <c r="M250" s="13"/>
      <c r="N250" s="13"/>
    </row>
    <row r="251" spans="13:14">
      <c r="M251" s="13"/>
      <c r="N251" s="13"/>
    </row>
    <row r="252" spans="13:14">
      <c r="M252" s="13"/>
      <c r="N252" s="13"/>
    </row>
    <row r="253" spans="13:14">
      <c r="M253" s="13"/>
      <c r="N253" s="13"/>
    </row>
    <row r="254" spans="13:14">
      <c r="M254" s="13"/>
      <c r="N254" s="13"/>
    </row>
  </sheetData>
  <mergeCells count="4">
    <mergeCell ref="A5:H5"/>
    <mergeCell ref="A6:H6"/>
    <mergeCell ref="A7:H7"/>
    <mergeCell ref="A9:E9"/>
  </mergeCells>
  <pageMargins left="0.9055118110236221" right="0.70866141732283472" top="0.74803149606299213" bottom="0.74803149606299213" header="0.31496062992125984" footer="0.31496062992125984"/>
  <pageSetup paperSize="5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ENERO 2025</vt:lpstr>
      <vt:lpstr>CUADRE ENE-OCTU 2024</vt:lpstr>
      <vt:lpstr>Hoja1</vt:lpstr>
      <vt:lpstr>FEBRERO 2025</vt:lpstr>
      <vt:lpstr>Marzo 2025</vt:lpstr>
      <vt:lpstr>ABRIL 2025</vt:lpstr>
      <vt:lpstr>'ABRIL 2025'!Área_de_impresión</vt:lpstr>
      <vt:lpstr>'CUADRE ENE-OCTU 2024'!Área_de_impresión</vt:lpstr>
      <vt:lpstr>'ENERO 2025'!Área_de_impresión</vt:lpstr>
      <vt:lpstr>'FEBRERO 2025'!Área_de_impresión</vt:lpstr>
      <vt:lpstr>'Marzo 2025'!Área_de_impresión</vt:lpstr>
      <vt:lpstr>'ABRIL 2025'!Títulos_a_imprimir</vt:lpstr>
      <vt:lpstr>'ENERO 2025'!Títulos_a_imprimir</vt:lpstr>
      <vt:lpstr>'FEBRERO 2025'!Títulos_a_imprimir</vt:lpstr>
      <vt:lpstr>'Marzo 2025'!Títulos_a_imprimir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ALIENWARE</cp:lastModifiedBy>
  <cp:lastPrinted>2025-05-12T15:52:22Z</cp:lastPrinted>
  <dcterms:created xsi:type="dcterms:W3CDTF">2015-06-05T18:19:34Z</dcterms:created>
  <dcterms:modified xsi:type="dcterms:W3CDTF">2025-05-21T12:43:41Z</dcterms:modified>
</cp:coreProperties>
</file>